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barrera18\Documents\PORTAL DE TRANPARENCIA 4TO TRIMESTRE\Art 121\Fracc 33\Formato A\"/>
    </mc:Choice>
  </mc:AlternateContent>
  <bookViews>
    <workbookView xWindow="0" yWindow="0" windowWidth="28800" windowHeight="15120"/>
  </bookViews>
  <sheets>
    <sheet name="Reporte de Formatos" sheetId="1" r:id="rId1"/>
  </sheets>
  <calcPr calcId="162913"/>
</workbook>
</file>

<file path=xl/calcChain.xml><?xml version="1.0" encoding="utf-8"?>
<calcChain xmlns="http://schemas.openxmlformats.org/spreadsheetml/2006/main">
  <c r="M386" i="1" l="1"/>
  <c r="L386" i="1"/>
  <c r="K386" i="1"/>
  <c r="I386" i="1"/>
  <c r="K385" i="1"/>
  <c r="M384" i="1"/>
  <c r="L384" i="1"/>
  <c r="K384" i="1"/>
  <c r="I384" i="1"/>
  <c r="K381" i="1"/>
  <c r="J381" i="1"/>
  <c r="I381" i="1"/>
  <c r="K380" i="1"/>
  <c r="K379" i="1"/>
  <c r="J379" i="1"/>
  <c r="I379" i="1"/>
  <c r="K378" i="1"/>
  <c r="K377" i="1"/>
  <c r="K375" i="1"/>
  <c r="K374" i="1"/>
  <c r="K373" i="1"/>
  <c r="K372" i="1"/>
  <c r="K371" i="1"/>
  <c r="M370" i="1"/>
  <c r="L370" i="1"/>
  <c r="K370" i="1"/>
  <c r="J370" i="1"/>
  <c r="I370" i="1"/>
  <c r="H370" i="1"/>
  <c r="K369" i="1"/>
  <c r="M368" i="1"/>
  <c r="L368" i="1"/>
  <c r="K368" i="1"/>
  <c r="J368" i="1"/>
  <c r="I368" i="1"/>
  <c r="H368" i="1"/>
  <c r="M366" i="1"/>
  <c r="L366" i="1"/>
  <c r="K366" i="1"/>
  <c r="J366" i="1"/>
  <c r="I366" i="1"/>
  <c r="M365" i="1"/>
  <c r="L365" i="1"/>
  <c r="K365" i="1"/>
  <c r="J365" i="1"/>
  <c r="I365" i="1"/>
  <c r="H365" i="1"/>
  <c r="K364" i="1"/>
  <c r="K363" i="1"/>
  <c r="M362" i="1"/>
  <c r="L362" i="1"/>
  <c r="K362" i="1"/>
  <c r="J362" i="1"/>
  <c r="I362" i="1"/>
  <c r="M361" i="1"/>
  <c r="L361" i="1"/>
  <c r="K361" i="1"/>
  <c r="M360" i="1"/>
  <c r="L360" i="1"/>
  <c r="K360" i="1"/>
  <c r="J360" i="1"/>
  <c r="I360" i="1"/>
  <c r="K359" i="1"/>
  <c r="K358" i="1"/>
  <c r="K355" i="1"/>
  <c r="K352" i="1"/>
  <c r="K350" i="1"/>
  <c r="K348" i="1"/>
  <c r="K347" i="1"/>
  <c r="K346" i="1"/>
  <c r="K345" i="1"/>
  <c r="M344" i="1"/>
  <c r="L344" i="1"/>
  <c r="K344" i="1"/>
  <c r="I344" i="1"/>
  <c r="H344" i="1"/>
  <c r="M343" i="1"/>
  <c r="L343" i="1"/>
  <c r="K343" i="1"/>
  <c r="J343" i="1"/>
  <c r="I343" i="1"/>
  <c r="H343" i="1"/>
  <c r="K342" i="1"/>
  <c r="K341" i="1"/>
  <c r="K340" i="1"/>
  <c r="I337" i="1"/>
  <c r="H337" i="1"/>
  <c r="K336" i="1"/>
  <c r="M335" i="1"/>
  <c r="L335" i="1"/>
  <c r="K335" i="1"/>
  <c r="J335" i="1"/>
  <c r="I335" i="1"/>
  <c r="M334" i="1"/>
  <c r="L334" i="1"/>
  <c r="K334" i="1"/>
  <c r="J334" i="1"/>
  <c r="I334" i="1"/>
  <c r="K332" i="1"/>
  <c r="K330" i="1"/>
  <c r="I330" i="1"/>
  <c r="M329" i="1"/>
  <c r="L329" i="1"/>
  <c r="K329" i="1"/>
  <c r="I329" i="1"/>
  <c r="M327" i="1"/>
  <c r="L327" i="1"/>
  <c r="K327" i="1"/>
  <c r="I327" i="1"/>
  <c r="M326" i="1"/>
  <c r="L326" i="1"/>
  <c r="K326" i="1"/>
  <c r="J326" i="1"/>
  <c r="I326" i="1"/>
  <c r="H326" i="1"/>
  <c r="I323" i="1"/>
  <c r="M322" i="1"/>
  <c r="L322" i="1"/>
  <c r="K322" i="1"/>
  <c r="I322" i="1"/>
  <c r="I321" i="1"/>
  <c r="K320" i="1"/>
  <c r="M319" i="1"/>
  <c r="L319" i="1"/>
  <c r="K319" i="1"/>
  <c r="I319" i="1"/>
  <c r="K316" i="1"/>
  <c r="K315" i="1"/>
  <c r="K311" i="1"/>
  <c r="K310" i="1"/>
  <c r="K308" i="1"/>
  <c r="K307" i="1"/>
  <c r="K306" i="1"/>
  <c r="K305" i="1"/>
  <c r="J305" i="1"/>
  <c r="I305" i="1"/>
  <c r="H305" i="1"/>
  <c r="K304" i="1"/>
  <c r="K303" i="1"/>
  <c r="J303" i="1"/>
  <c r="I303" i="1"/>
  <c r="K302" i="1"/>
  <c r="K301" i="1"/>
  <c r="K300" i="1"/>
  <c r="K299" i="1"/>
  <c r="K298" i="1"/>
  <c r="K297" i="1"/>
  <c r="K296" i="1"/>
  <c r="K295" i="1"/>
  <c r="K294" i="1"/>
  <c r="K293" i="1"/>
  <c r="K292" i="1"/>
  <c r="K291" i="1"/>
  <c r="M289" i="1"/>
  <c r="L289" i="1"/>
  <c r="K289" i="1"/>
  <c r="J289" i="1"/>
  <c r="I289" i="1"/>
  <c r="I285" i="1"/>
  <c r="I283" i="1"/>
  <c r="M274" i="1"/>
  <c r="L274" i="1"/>
  <c r="K274" i="1"/>
  <c r="I274" i="1"/>
  <c r="H274" i="1"/>
  <c r="J272" i="1"/>
  <c r="I272" i="1"/>
  <c r="H272" i="1"/>
  <c r="M269" i="1"/>
  <c r="L269" i="1"/>
  <c r="K269" i="1"/>
  <c r="J269" i="1"/>
  <c r="I269" i="1"/>
  <c r="H269" i="1"/>
  <c r="J266" i="1"/>
  <c r="I266" i="1"/>
  <c r="I264" i="1"/>
  <c r="M248" i="1"/>
  <c r="L248" i="1"/>
  <c r="K248" i="1"/>
  <c r="J248" i="1"/>
  <c r="I248" i="1"/>
  <c r="H248" i="1"/>
  <c r="M247" i="1"/>
  <c r="L247" i="1"/>
  <c r="K247" i="1"/>
  <c r="J247" i="1"/>
  <c r="I247" i="1"/>
  <c r="H247" i="1"/>
  <c r="I244" i="1"/>
  <c r="I242" i="1"/>
  <c r="H242" i="1"/>
  <c r="I240" i="1"/>
  <c r="I239" i="1"/>
  <c r="I235" i="1"/>
  <c r="I234" i="1"/>
  <c r="I232" i="1"/>
  <c r="M231" i="1"/>
  <c r="L231" i="1"/>
  <c r="K231" i="1"/>
  <c r="J231" i="1"/>
  <c r="I231" i="1"/>
  <c r="H231" i="1"/>
  <c r="I227" i="1"/>
  <c r="I226" i="1"/>
  <c r="I224" i="1"/>
  <c r="J210" i="1"/>
  <c r="I210" i="1"/>
  <c r="H210" i="1"/>
  <c r="I208" i="1"/>
  <c r="M179" i="1"/>
  <c r="L179" i="1"/>
  <c r="K179" i="1"/>
  <c r="J179" i="1"/>
  <c r="I179" i="1"/>
  <c r="H179" i="1"/>
  <c r="I177" i="1"/>
  <c r="H177" i="1"/>
  <c r="M174" i="1"/>
  <c r="L174" i="1"/>
  <c r="K174" i="1"/>
  <c r="I174" i="1"/>
  <c r="H174" i="1"/>
  <c r="I171" i="1"/>
  <c r="M154" i="1"/>
  <c r="L154" i="1"/>
  <c r="K154" i="1"/>
  <c r="J154" i="1"/>
  <c r="I154" i="1"/>
  <c r="H154" i="1"/>
  <c r="M153" i="1"/>
  <c r="L153" i="1"/>
  <c r="K153" i="1"/>
  <c r="J153" i="1"/>
  <c r="I153" i="1"/>
  <c r="H153" i="1"/>
  <c r="I148" i="1"/>
  <c r="H148" i="1"/>
  <c r="J137" i="1"/>
  <c r="I137" i="1"/>
  <c r="H137" i="1"/>
  <c r="J116" i="1"/>
  <c r="I116" i="1"/>
  <c r="H116" i="1"/>
  <c r="I85" i="1"/>
  <c r="H85" i="1"/>
  <c r="I83" i="1"/>
  <c r="H83" i="1"/>
  <c r="J80" i="1"/>
  <c r="I80" i="1"/>
  <c r="H80" i="1"/>
  <c r="J60" i="1"/>
  <c r="I60" i="1"/>
  <c r="H60" i="1"/>
  <c r="M59" i="1"/>
  <c r="L59" i="1"/>
  <c r="K59" i="1"/>
  <c r="I59" i="1"/>
  <c r="H59" i="1"/>
  <c r="I54" i="1"/>
  <c r="H54" i="1"/>
  <c r="I43" i="1"/>
  <c r="H43" i="1"/>
  <c r="I22" i="1"/>
  <c r="H22" i="1"/>
</calcChain>
</file>

<file path=xl/sharedStrings.xml><?xml version="1.0" encoding="utf-8"?>
<sst xmlns="http://schemas.openxmlformats.org/spreadsheetml/2006/main" count="1838" uniqueCount="272">
  <si>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</si>
  <si>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</si>
  <si>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</si>
  <si>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</si>
  <si>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</si>
  <si>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</si>
  <si>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</si>
  <si>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</si>
  <si>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</si>
  <si>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</si>
  <si>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</si>
  <si>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</si>
  <si>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</si>
  <si>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</si>
  <si>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</si>
  <si>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</si>
  <si>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</si>
  <si>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</si>
  <si>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</si>
  <si>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</si>
  <si>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</si>
  <si>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</si>
  <si>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</si>
  <si>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</si>
  <si>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</si>
  <si>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</si>
  <si>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</si>
  <si>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</si>
  <si>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</si>
  <si>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</si>
  <si>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</si>
  <si>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</si>
  <si>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</si>
  <si>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</si>
  <si>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</si>
  <si>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</si>
  <si>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</si>
  <si>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</si>
  <si>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</si>
  <si>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</si>
  <si>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</si>
  <si>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</si>
  <si>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</si>
  <si>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</si>
  <si>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</si>
  <si>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</si>
  <si>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</si>
  <si>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</si>
  <si>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</si>
  <si>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</si>
  <si>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</si>
  <si>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</si>
  <si>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</si>
  <si>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permanente</t>
  </si>
  <si>
    <t>Al periodo que se informa no se refleja variación.</t>
  </si>
  <si>
    <t> https://www.transparencia.cdmx.gob.mx/storage/app/uploads/public/5d4/c7c/fdb/5d4c7cfdbdb55436479801.pdf</t>
  </si>
  <si>
    <t>Gerencia de Finanzas</t>
  </si>
  <si>
    <t>1300</t>
  </si>
  <si>
    <t>1311</t>
  </si>
  <si>
    <t>Prima quinquenal por años de servicios efectivos prestados</t>
  </si>
  <si>
    <t>1321</t>
  </si>
  <si>
    <t>Prima de vacaciones</t>
  </si>
  <si>
    <t>1322</t>
  </si>
  <si>
    <t>Prima dominical</t>
  </si>
  <si>
    <t>1323</t>
  </si>
  <si>
    <t>Gratificación de  Fin de Año</t>
  </si>
  <si>
    <t>1331</t>
  </si>
  <si>
    <t>Horas extraordinarias</t>
  </si>
  <si>
    <t>1332</t>
  </si>
  <si>
    <t>Guardías</t>
  </si>
  <si>
    <t>1400</t>
  </si>
  <si>
    <t>1412</t>
  </si>
  <si>
    <t>Aportaciones al Instituto Mexicano del Seguro Social</t>
  </si>
  <si>
    <t>1422</t>
  </si>
  <si>
    <t>Aportaciones al fondo de vivienda del INFONAVIT</t>
  </si>
  <si>
    <t>1431</t>
  </si>
  <si>
    <t>Aportaciones al Sistema para el Retiro o a la Administradora de Fondo para el Retiro y Ahorro Solidario</t>
  </si>
  <si>
    <t>1441</t>
  </si>
  <si>
    <t>Primas por Seguro de Vida del personal civil</t>
  </si>
  <si>
    <t>1500</t>
  </si>
  <si>
    <t>1511</t>
  </si>
  <si>
    <t>Cuotas para el fondo de ahorro y fondo de trabajo</t>
  </si>
  <si>
    <t>1521</t>
  </si>
  <si>
    <t>Liquidaciones por Indemnizaciones y por sueldos y salarios caídos</t>
  </si>
  <si>
    <t>1531</t>
  </si>
  <si>
    <t>Prestaciones y haberes de retiro</t>
  </si>
  <si>
    <t>1541</t>
  </si>
  <si>
    <t>Vales</t>
  </si>
  <si>
    <t>1542</t>
  </si>
  <si>
    <t>Apoyo económico por defunción de familiares directos</t>
  </si>
  <si>
    <t>1545</t>
  </si>
  <si>
    <t>Asigaciones para prestaciones a personal sindicalizado y no sindicalizado</t>
  </si>
  <si>
    <t>1546</t>
  </si>
  <si>
    <t>Otras prestaciones contractuales</t>
  </si>
  <si>
    <t>1547</t>
  </si>
  <si>
    <t>Asignaciones conmemorativas</t>
  </si>
  <si>
    <t>1549</t>
  </si>
  <si>
    <t>Apoyos Colectivos</t>
  </si>
  <si>
    <t>1591</t>
  </si>
  <si>
    <t>Asignaciones para requerimiento de cargos de Servidores Públicos Superiores y de Mandos Medios así como de Líderes Coordinadores y Enlaces</t>
  </si>
  <si>
    <t>1593</t>
  </si>
  <si>
    <t>Becas a hijos de trabajadores</t>
  </si>
  <si>
    <t>1599</t>
  </si>
  <si>
    <t>Otras prestaciones sociales y económicas</t>
  </si>
  <si>
    <t>Previsiones de carácter laboral, económica y de seguridad social</t>
  </si>
  <si>
    <t>1700</t>
  </si>
  <si>
    <t>1712</t>
  </si>
  <si>
    <t xml:space="preserve">Premio de puntualidad </t>
  </si>
  <si>
    <t>2100</t>
  </si>
  <si>
    <t>2111</t>
  </si>
  <si>
    <t>Materiales, útiles y equipos menores de oficina</t>
  </si>
  <si>
    <t>En el mes de marzo se realizaron Afectaciones Presupuestales Compensadas para contar con recursos que permitan dar inicio a los procesos de licitación y adquirir los materiales y/o suministros para proporcionar mantenimiento preventivo y correctivo a los trolebuses, tren ligero e infraestructura para el transporte, dando cumplimiento a las metas ya establecidas.</t>
  </si>
  <si>
    <t>2121</t>
  </si>
  <si>
    <t>Materiales y útiles de impresión y reproducción</t>
  </si>
  <si>
    <t>2141</t>
  </si>
  <si>
    <t>Materiales, útiles y equipos menores de tecnologías de la información y comunicaciones</t>
  </si>
  <si>
    <t>2161</t>
  </si>
  <si>
    <t>Material de limpieza</t>
  </si>
  <si>
    <t>2200</t>
  </si>
  <si>
    <t>2211</t>
  </si>
  <si>
    <t>Productos alimenticios y bebidas para personas</t>
  </si>
  <si>
    <t>2400</t>
  </si>
  <si>
    <t>2419</t>
  </si>
  <si>
    <t>Otros productos minerales no metálicos</t>
  </si>
  <si>
    <t>Cemento y productos de concreto</t>
  </si>
  <si>
    <t>Cal, yeso y productos de yeso</t>
  </si>
  <si>
    <t>2441</t>
  </si>
  <si>
    <t>Madera y productos de madera</t>
  </si>
  <si>
    <t>2451</t>
  </si>
  <si>
    <t xml:space="preserve">Vidrio y productos de vidrio </t>
  </si>
  <si>
    <t>2461</t>
  </si>
  <si>
    <t>Material eléctrico y electrónico</t>
  </si>
  <si>
    <t>2471</t>
  </si>
  <si>
    <t>Artículos metálicos para la construcción</t>
  </si>
  <si>
    <t>Materiales complementarios</t>
  </si>
  <si>
    <t>2491</t>
  </si>
  <si>
    <t>Otros materiales y artículos de construcción y reparación</t>
  </si>
  <si>
    <t>2500</t>
  </si>
  <si>
    <t>2511</t>
  </si>
  <si>
    <t>Productos químicos básicos</t>
  </si>
  <si>
    <t>2531</t>
  </si>
  <si>
    <t>Medicinas y productos farmacéuticos</t>
  </si>
  <si>
    <t>2541</t>
  </si>
  <si>
    <t>Materiales, accesorios y suministros médicos</t>
  </si>
  <si>
    <t>2561</t>
  </si>
  <si>
    <t>Fibras sintéticas, hules, plásticos y derivados</t>
  </si>
  <si>
    <t>2591</t>
  </si>
  <si>
    <t xml:space="preserve">Otros productos químicos </t>
  </si>
  <si>
    <t>2600</t>
  </si>
  <si>
    <t>2611</t>
  </si>
  <si>
    <t>Combustibles, lubricantes y aditivos</t>
  </si>
  <si>
    <t>2621</t>
  </si>
  <si>
    <t>Carbón y sus derivados</t>
  </si>
  <si>
    <t>2700</t>
  </si>
  <si>
    <t>2711</t>
  </si>
  <si>
    <t>Vestuario y uniformes</t>
  </si>
  <si>
    <t>2721</t>
  </si>
  <si>
    <t>Prendas de seguridad y protección personal</t>
  </si>
  <si>
    <t>2900</t>
  </si>
  <si>
    <t>2911</t>
  </si>
  <si>
    <t>Herramientas menores</t>
  </si>
  <si>
    <t>2921</t>
  </si>
  <si>
    <t>Refacciones y accesorios menores de edificios</t>
  </si>
  <si>
    <t>2941</t>
  </si>
  <si>
    <t>Refacciones y accesorios menores de equipo de cómputo y tecnologías de la información</t>
  </si>
  <si>
    <t>2961</t>
  </si>
  <si>
    <t>Refacciones y accesorios menores de equipo de transporte</t>
  </si>
  <si>
    <t>3100</t>
  </si>
  <si>
    <t>3112</t>
  </si>
  <si>
    <t>Servicio de energía eléctrica</t>
  </si>
  <si>
    <t>En el mes de marzo se realizó Afectaciones Presupuestales Compensadas para reorientar recursos del Capítulo 3000 "Servicios Generales", para cubrir las necesidades de las áreas de mantenimiento a trolebuses, tren ligero e Infraestructura para el transporte.</t>
  </si>
  <si>
    <t>3121</t>
  </si>
  <si>
    <t>Gas</t>
  </si>
  <si>
    <t>3131</t>
  </si>
  <si>
    <t>Agua potable</t>
  </si>
  <si>
    <t>3132</t>
  </si>
  <si>
    <t>Agua tratada</t>
  </si>
  <si>
    <t>3141</t>
  </si>
  <si>
    <t>Telefonía tradicional</t>
  </si>
  <si>
    <t>3161</t>
  </si>
  <si>
    <t>Servicio de telecomunicaciones y satélites</t>
  </si>
  <si>
    <t>3171</t>
  </si>
  <si>
    <t>Servicios de acceso de Internet, redes y procesamiento de información</t>
  </si>
  <si>
    <t>Servicios postales y telegráficos</t>
  </si>
  <si>
    <t>3191</t>
  </si>
  <si>
    <t>Servicios integrales y otros servicios</t>
  </si>
  <si>
    <t>3200</t>
  </si>
  <si>
    <t>3211</t>
  </si>
  <si>
    <t>Arrendamiento de terrenos</t>
  </si>
  <si>
    <t>3252</t>
  </si>
  <si>
    <t>Arrendamiento de equipo de transporte destinado a servicios públicos y la operación de programas públicos</t>
  </si>
  <si>
    <t>3291</t>
  </si>
  <si>
    <t>Otros arrendamientos</t>
  </si>
  <si>
    <t>3300</t>
  </si>
  <si>
    <t>3311</t>
  </si>
  <si>
    <t>Servicios legales, de contabilidad, auditoría y relacionados</t>
  </si>
  <si>
    <t>3331</t>
  </si>
  <si>
    <t>Servicios de consultoría administrativa, procesos, técnica y en tecnologías de la información</t>
  </si>
  <si>
    <t>3341</t>
  </si>
  <si>
    <t>Servicios de capacitación</t>
  </si>
  <si>
    <t>3361</t>
  </si>
  <si>
    <t>Servicios de apoyo  administrativo y fotocopiado</t>
  </si>
  <si>
    <t>3362</t>
  </si>
  <si>
    <t>Servicios de impresión</t>
  </si>
  <si>
    <t>Servicios profesionales, científicos, técnicos integrales y otros</t>
  </si>
  <si>
    <t>3400</t>
  </si>
  <si>
    <t>3411</t>
  </si>
  <si>
    <t>Servicios financieros y bancarios</t>
  </si>
  <si>
    <t>3439</t>
  </si>
  <si>
    <t>Otros servicios de recaudación, traslado y custodia de valores</t>
  </si>
  <si>
    <t>3451</t>
  </si>
  <si>
    <t>Seguro de bienes patrimoniales</t>
  </si>
  <si>
    <t>3500</t>
  </si>
  <si>
    <t>3511</t>
  </si>
  <si>
    <t>Conservación y mantenimiento menor de inmuebles</t>
  </si>
  <si>
    <t>Instalación, reparación y mantenimiento de equipo e instrumental médico y de laboratorio</t>
  </si>
  <si>
    <t>3552</t>
  </si>
  <si>
    <t>Reparación, mantenimiento y conservación de equipo de transporte destinados a servicios públicos y operación de programas públicos</t>
  </si>
  <si>
    <t>3553</t>
  </si>
  <si>
    <t>Reparación, mantenimiento y conservación de equipo de transporte destinados a servidores públicos y servicios administrativos</t>
  </si>
  <si>
    <t>3571</t>
  </si>
  <si>
    <t>Instalación, reparación y mantenimiento de maquinaria, otros equipos y herramienta</t>
  </si>
  <si>
    <t>3581</t>
  </si>
  <si>
    <t>Servicios de limpieza y manejo de desechos</t>
  </si>
  <si>
    <t>3591</t>
  </si>
  <si>
    <t>Servicios de jardinería y fumigación</t>
  </si>
  <si>
    <t>3700</t>
  </si>
  <si>
    <t>3721</t>
  </si>
  <si>
    <t>Pasajes Terrenos Nacionales</t>
  </si>
  <si>
    <t>3722</t>
  </si>
  <si>
    <t>Pasajes terrestres al interior del Distrito Federal</t>
  </si>
  <si>
    <t>3751</t>
  </si>
  <si>
    <t>Viáticos del país</t>
  </si>
  <si>
    <t>3800</t>
  </si>
  <si>
    <t>3821</t>
  </si>
  <si>
    <t>Espectáculos culturales</t>
  </si>
  <si>
    <t>3900</t>
  </si>
  <si>
    <t>3921</t>
  </si>
  <si>
    <t>Impuestos y derechos</t>
  </si>
  <si>
    <t>3969</t>
  </si>
  <si>
    <t>Otros gastos por responsabilidades</t>
  </si>
  <si>
    <t>3981</t>
  </si>
  <si>
    <t>Impuestos sobre nóminas</t>
  </si>
  <si>
    <t>3982</t>
  </si>
  <si>
    <t>Otros impuestos derivados de una relación laboral</t>
  </si>
  <si>
    <t>3993</t>
  </si>
  <si>
    <t>Subrogaciones</t>
  </si>
  <si>
    <t>4400</t>
  </si>
  <si>
    <t>4421</t>
  </si>
  <si>
    <t xml:space="preserve">Becas y otras ayudas para programas de capacitación </t>
  </si>
  <si>
    <t>Al período que se informa no se reporta variación.</t>
  </si>
  <si>
    <t>Ayudas sociales a instituciones sin fines de lucro</t>
  </si>
  <si>
    <t>4500</t>
  </si>
  <si>
    <t>4521</t>
  </si>
  <si>
    <t>Jubilaciones</t>
  </si>
  <si>
    <t>Vehículos y equipo terrestre destinados a servicios públicos y la operación de programas públicos</t>
  </si>
  <si>
    <t>Equipo de comunicación y telecomunicación</t>
  </si>
  <si>
    <t>https://www.transparencia.cdmx.gob.mx/storage/app/uploads/public/5d4/c7d/f18/5d4c7df186512958750856.pdf</t>
  </si>
  <si>
    <t>La variación que se refleja se debe a que el presupuesto programado contempló el registro del gasto de las diversas nóminas del Organismo con la  plantilla de personal autorizada, sin embargo hay plazas vacantes durante el ejercicio, principalmente por incapacidades de: riesgo de trabajo, enfermedad general y maternidad,   prima de vacaciones, aportaciones al Instituto del Seguro Social, vales, ayuda de transporte, estímulos por puntualidad y apego al reglamento, bono de productividad y calidad, fondo de ahorro.</t>
  </si>
  <si>
    <t>https://www.transparencia.cdmx.gob.mx/storage/app/uploads/public/5da/8c8/5ac/5da8c85ac6689962226372.pdf</t>
  </si>
  <si>
    <t>La variación  que se informa se  debe principalmente a que los recursos programados para el  suministro de energía eléctrica, agua tratada, agua potable,   servicio telefónico, internet, "Mantenimiento al Sistema de Vías del Tren Ligero, en el Tramo Tasqueña - Estadio Azteca",  fueron mayores al gasto reportado. Fueron programados recursos para el  arrendamiento del inmueble ubicado en Calle Cultura Griega, sin número,  Número 196, Col. Pueblo de San Martín Xochinahuac, Delegación Azcapotzalco, recursos que no serán utilizados. Se autorizaron Suficiencias Presupuestales para la impartición de cursos de capacitación con la UNAM, Instituto Politécnico Nacional y Crecer Talento Humano y Tecnologías, S.C. y para la adquisición de tarjetas inteligentes de la CDMX.,  contratos que no fueron recibidos para su registro.</t>
  </si>
  <si>
    <t>Servicios de protección y seguridad</t>
  </si>
  <si>
    <t>La variación que se presenta se debe a que el tipo de cambio al efectuar el pago fue menor, reportándose una utilidad cambiaria, por concepto de la Asistencia Técnica  entre el Gobierno de la Ciudad de México y la Oficina de las Naciones Unidas de Servicio para Proyectos  (UNOPS)– Proyecto de Asistencia Técnica a la Secretaría de Movilidad de la Ciudad de México y al Servicio de Transportes Eléctricos de la Ciudad de México, en la ejecución del proceso de licitación para la Adquisición de Trolebuses.</t>
  </si>
  <si>
    <t>Al periodo que se informa la disponibilidad entre el Presupuesto Programado y el Presupuesto Ejercido,  se debe a que el registro del gasto por la adquisición de Trolebuses Sencillos de Nueva Generación fue menor.</t>
  </si>
  <si>
    <t>La variación que se reporta se debe a que fue solicitada ampliación con recursos de Fondo 15O190 No Etiquetado Recursos Federales-Participaciones en Ingresos Federales-2019-Original de la URG, en la partida de gasto 1521 "Liquidaciones por Indemnizaciones y por Sueldos y Salarios Caídos", para dar cumplimiento a las obligaciones de Juicios Laborales.</t>
  </si>
  <si>
    <t>https://www.transparencia.cdmx.gob.mx/storage/app/uploads/public/5e3/1ec/3fd/5e31ec3fd3567802179464.pdf</t>
  </si>
  <si>
    <t>La variación que se reporta se debe principalmente a que fue solicitada adecuaciones a los recursos para atender los requerimientos de la Dirección de Mantenimiento y adquirir los materiales y suministros necesarios, para proporcionar mantenimiento preventivo y correctivo a el parque vehicular de trolebuses, trenes ligeros y a la infraestructura del transporte.</t>
  </si>
  <si>
    <t>La variación  que se informa se  debe a que fue solicitada reducción a los recursos autorizados para el Proyecto "Modernización del Sistema de Tracción/Frenado y convertidor Estático de Auxiliares de Trenes Ligeros", "Mantenimiento al Sistema de Vías del Tren Ligero, en el Tramo Tasqueña - Estadio Azteca" y a los recursos programados para el Arrendamiento del Inmuebles del "Depósito el Rosario", para ser reorientados y cubrir las necesidades prioritarias del Organismo.</t>
  </si>
  <si>
    <t>Se solicita Ampliación Líquida para la subrogación del "Sistema de Peaje de la ciudad de México", en la red de Trolebuses, en seguimiento al Acuerdo CA/STECDMX/6a./SE/002/2019, aprobado por el Consejo de Administración del Servicio de Transportes Eléctricos de la Ciudad de México, en la Sexta Sesión Extraordinaria 2019 de fecha 20 de Agosto de 2019.</t>
  </si>
  <si>
    <t>Se solicita Reducción Líquida para cubrir los gastos por el incremento de la tarifa de los servicios por concepto de Servicio Centralizado de Vigilancia, en seguimiento al Acuerdo CA/STECDMX/8a,SE/002/2019, aprobado por el Consejo de Administración del Servicio de Transportes Eléctricos de la Ciudad de México en la Octava Sesión Extraordinaria 2019 de fecha 07 de noviembre de 2019.</t>
  </si>
  <si>
    <t xml:space="preserve">La variación que se reporta se debe a que fue solicitada adecuación al presupuesto, para reorientar los recursos disponibles que ya no serían utilizados, para la Asistencia Técnica entre el Gobierno de la Ciudad de México y la Oficina de las Naciones Unidas de Servicio para Proyectos (UNOPA)-Proyecto de Asistencia Técnia a la Secretaría de Movilidad de la Ciudad de México y al Servicio de Transportes Eléctricos de la Ciuda de México, en la ejecución del proceso de licitación para la Adquisición de Trolebuses, debido a que el importe ejercido fue menor a los recursos autorizados. </t>
  </si>
  <si>
    <t>La variación que se informa, se debe a que fueron reorientados recursos etiquetados para la Adquisición de el "Sistema de Regulación y control de Tráfico del Tren Ligero "SRCT" (SAE), a el Capítulo 3000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</si>
</sst>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1"/>
      <name val="Calibri"/>
      <family val="2"/>
    </font>
    <font>
      <u/>
      <sz val="11"/>
      <color theme="10"/>
      <name val="Calibri"/>
      <family val="2"/>
      <scheme val="minor"/>
    </font>
    <font>
      <sz val="11"/>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0" fontId="6" fillId="3" borderId="0" applyNumberFormat="0" applyFill="0" applyBorder="0" applyAlignment="0" applyProtection="0"/>
  </cellStyleXfs>
  <cellXfs count="53">
    <xf numFmtId="0" fontId="0" fillId="0" borderId="0" xfId="0"/>
    <xf numFmtId="0" fontId="3" fillId="4" borderId="1" xfId="0" applyFont="1" applyFill="1" applyBorder="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0" borderId="1" xfId="0" applyBorder="1" applyAlignment="1">
      <alignment horizontal="center" vertical="center" wrapText="1"/>
    </xf>
    <xf numFmtId="15" fontId="0" fillId="0" borderId="1" xfId="0" applyNumberFormat="1" applyBorder="1" applyAlignment="1">
      <alignment horizontal="center" vertical="center"/>
    </xf>
    <xf numFmtId="0" fontId="0" fillId="0" borderId="1" xfId="0" applyBorder="1" applyAlignment="1">
      <alignment horizontal="left" vertical="center" wrapText="1"/>
    </xf>
    <xf numFmtId="0" fontId="0" fillId="0" borderId="1" xfId="0" applyNumberFormat="1" applyBorder="1" applyAlignment="1">
      <alignment horizontal="right" vertical="center" wrapText="1"/>
    </xf>
    <xf numFmtId="0" fontId="0" fillId="0" borderId="1" xfId="1" applyNumberFormat="1" applyFont="1" applyBorder="1" applyAlignment="1">
      <alignment horizontal="right" vertical="center" wrapText="1"/>
    </xf>
    <xf numFmtId="0" fontId="0" fillId="0" borderId="1" xfId="0" applyBorder="1" applyAlignment="1">
      <alignment vertical="center" wrapText="1"/>
    </xf>
    <xf numFmtId="0" fontId="6" fillId="3" borderId="0" xfId="3"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vertical="top" wrapText="1"/>
    </xf>
    <xf numFmtId="0" fontId="0" fillId="0" borderId="1" xfId="0" applyBorder="1" applyAlignment="1">
      <alignment horizontal="justify" vertical="top" wrapText="1"/>
    </xf>
    <xf numFmtId="0" fontId="7" fillId="0" borderId="1" xfId="2" applyNumberFormat="1" applyFont="1" applyBorder="1" applyAlignment="1">
      <alignment horizontal="justify" vertical="top" wrapText="1"/>
    </xf>
    <xf numFmtId="0" fontId="4" fillId="0" borderId="1" xfId="0" applyFont="1" applyBorder="1" applyAlignment="1">
      <alignment vertical="center" wrapText="1"/>
    </xf>
    <xf numFmtId="0" fontId="0" fillId="0" borderId="1" xfId="1" applyNumberFormat="1" applyFont="1" applyBorder="1" applyAlignment="1">
      <alignment horizontal="righ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justify" vertical="center"/>
    </xf>
    <xf numFmtId="0" fontId="0" fillId="0" borderId="1" xfId="0" applyNumberFormat="1" applyBorder="1" applyAlignment="1">
      <alignment horizontal="right" vertical="center"/>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4" fontId="8" fillId="5" borderId="2" xfId="0" applyNumberFormat="1" applyFont="1" applyFill="1" applyBorder="1" applyAlignment="1">
      <alignment vertical="top" wrapText="1"/>
    </xf>
    <xf numFmtId="0" fontId="6" fillId="3" borderId="1" xfId="3" applyBorder="1" applyAlignment="1">
      <alignment horizontal="center" vertical="center" wrapText="1"/>
    </xf>
    <xf numFmtId="4" fontId="8" fillId="5" borderId="3" xfId="0" applyNumberFormat="1" applyFont="1" applyFill="1" applyBorder="1" applyAlignment="1">
      <alignment vertical="top" wrapText="1"/>
    </xf>
    <xf numFmtId="4" fontId="8" fillId="5" borderId="4" xfId="0" applyNumberFormat="1" applyFont="1" applyFill="1" applyBorder="1" applyAlignment="1">
      <alignment vertical="top" wrapText="1"/>
    </xf>
    <xf numFmtId="0" fontId="8" fillId="5" borderId="2" xfId="0" applyFont="1" applyFill="1" applyBorder="1" applyAlignment="1">
      <alignment vertical="top" wrapText="1"/>
    </xf>
    <xf numFmtId="0" fontId="8" fillId="5" borderId="3" xfId="0" applyFont="1" applyFill="1" applyBorder="1" applyAlignment="1">
      <alignment vertical="top" wrapText="1"/>
    </xf>
    <xf numFmtId="0" fontId="8" fillId="5" borderId="3" xfId="0" applyFont="1" applyFill="1" applyBorder="1" applyAlignment="1">
      <alignment vertical="top"/>
    </xf>
    <xf numFmtId="0" fontId="8" fillId="5" borderId="3" xfId="0" applyFont="1" applyFill="1" applyBorder="1" applyAlignment="1">
      <alignment horizontal="justify" vertical="top" wrapText="1"/>
    </xf>
    <xf numFmtId="0" fontId="7" fillId="0" borderId="2" xfId="2" applyNumberFormat="1" applyFont="1" applyBorder="1" applyAlignment="1">
      <alignment vertical="top" wrapText="1"/>
    </xf>
    <xf numFmtId="0" fontId="7" fillId="0" borderId="3" xfId="2" applyNumberFormat="1" applyFont="1" applyBorder="1" applyAlignment="1">
      <alignment vertical="top" wrapText="1"/>
    </xf>
    <xf numFmtId="0" fontId="7" fillId="0" borderId="4" xfId="2" applyNumberFormat="1" applyFont="1" applyBorder="1" applyAlignment="1">
      <alignment vertical="top"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2" fontId="0" fillId="0" borderId="1" xfId="1" applyNumberFormat="1" applyFont="1" applyBorder="1" applyAlignment="1">
      <alignment horizontal="right" vertical="center" wrapText="1"/>
    </xf>
    <xf numFmtId="4" fontId="5" fillId="5" borderId="2" xfId="0" applyNumberFormat="1" applyFont="1" applyFill="1" applyBorder="1" applyAlignment="1">
      <alignment horizontal="justify" vertical="top" wrapText="1"/>
    </xf>
    <xf numFmtId="4" fontId="5" fillId="5" borderId="3" xfId="0" applyNumberFormat="1" applyFont="1" applyFill="1" applyBorder="1" applyAlignment="1">
      <alignment horizontal="justify" vertical="top" wrapText="1"/>
    </xf>
    <xf numFmtId="4" fontId="5" fillId="5" borderId="4" xfId="0" applyNumberFormat="1" applyFont="1" applyFill="1" applyBorder="1" applyAlignment="1">
      <alignment horizontal="justify" vertical="top" wrapText="1"/>
    </xf>
    <xf numFmtId="0" fontId="1" fillId="5" borderId="2" xfId="0" applyFont="1" applyFill="1" applyBorder="1" applyAlignment="1">
      <alignment horizontal="justify" vertical="top" wrapText="1"/>
    </xf>
    <xf numFmtId="0" fontId="7" fillId="0" borderId="2" xfId="2" applyNumberFormat="1" applyFont="1" applyBorder="1" applyAlignment="1">
      <alignment horizontal="justify" vertical="top" wrapText="1"/>
    </xf>
    <xf numFmtId="0" fontId="7" fillId="0" borderId="3" xfId="2" applyNumberFormat="1" applyFont="1" applyBorder="1" applyAlignment="1">
      <alignment horizontal="justify" vertical="top" wrapText="1"/>
    </xf>
    <xf numFmtId="0" fontId="0" fillId="0" borderId="3" xfId="0" applyFont="1" applyBorder="1" applyAlignment="1">
      <alignment horizontal="justify" vertical="center" wrapText="1"/>
    </xf>
    <xf numFmtId="2" fontId="0" fillId="0" borderId="1" xfId="1" applyNumberFormat="1" applyFont="1" applyBorder="1" applyAlignment="1">
      <alignment horizontal="right" vertical="center"/>
    </xf>
    <xf numFmtId="0" fontId="0" fillId="0" borderId="4"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6" fillId="3" borderId="0" xfId="3"/>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4/c7d/f18/5d4c7df186512958750856.pdf" TargetMode="External"/><Relationship Id="rId21" Type="http://schemas.openxmlformats.org/officeDocument/2006/relationships/hyperlink" Target="https://www.transparencia.cdmx.gob.mx/storage/app/uploads/public/5d4/c7d/f18/5d4c7df186512958750856.pdf" TargetMode="External"/><Relationship Id="rId42" Type="http://schemas.openxmlformats.org/officeDocument/2006/relationships/hyperlink" Target="https://www.transparencia.cdmx.gob.mx/storage/app/uploads/public/5d4/c7d/f18/5d4c7df186512958750856.pdf" TargetMode="External"/><Relationship Id="rId47" Type="http://schemas.openxmlformats.org/officeDocument/2006/relationships/hyperlink" Target="https://www.transparencia.cdmx.gob.mx/storage/app/uploads/public/5d4/c7d/f18/5d4c7df186512958750856.pdf" TargetMode="External"/><Relationship Id="rId63" Type="http://schemas.openxmlformats.org/officeDocument/2006/relationships/hyperlink" Target="https://www.transparencia.cdmx.gob.mx/storage/app/uploads/public/5d4/c7d/f18/5d4c7df186512958750856.pdf" TargetMode="External"/><Relationship Id="rId68" Type="http://schemas.openxmlformats.org/officeDocument/2006/relationships/hyperlink" Target="https://www.transparencia.cdmx.gob.mx/storage/app/uploads/public/5d4/c7d/f18/5d4c7df186512958750856.pdf" TargetMode="External"/><Relationship Id="rId84" Type="http://schemas.openxmlformats.org/officeDocument/2006/relationships/hyperlink" Target="https://www.transparencia.cdmx.gob.mx/storage/app/uploads/public/5d4/c7d/f18/5d4c7df186512958750856.pdf" TargetMode="External"/><Relationship Id="rId89" Type="http://schemas.openxmlformats.org/officeDocument/2006/relationships/hyperlink" Target="https://www.transparencia.cdmx.gob.mx/storage/app/uploads/public/5d4/c7d/f18/5d4c7df186512958750856.pdf" TargetMode="External"/><Relationship Id="rId2" Type="http://schemas.openxmlformats.org/officeDocument/2006/relationships/hyperlink" Target="https://www.transparencia.cdmx.gob.mx/storage/app/uploads/public/5d4/c7c/fdb/5d4c7cfdbdb55436479801.pdf" TargetMode="External"/><Relationship Id="rId16" Type="http://schemas.openxmlformats.org/officeDocument/2006/relationships/hyperlink" Target="https://www.transparencia.cdmx.gob.mx/storage/app/uploads/public/5d4/c7d/f18/5d4c7df186512958750856.pdf" TargetMode="External"/><Relationship Id="rId29" Type="http://schemas.openxmlformats.org/officeDocument/2006/relationships/hyperlink" Target="https://www.transparencia.cdmx.gob.mx/storage/app/uploads/public/5d4/c7d/f18/5d4c7df186512958750856.pdf" TargetMode="External"/><Relationship Id="rId107" Type="http://schemas.openxmlformats.org/officeDocument/2006/relationships/hyperlink" Target="https://www.transparencia.cdmx.gob.mx/storage/app/uploads/public/5e3/1ec/3fd/5e31ec3fd3567802179464.pdf" TargetMode="External"/><Relationship Id="rId11" Type="http://schemas.openxmlformats.org/officeDocument/2006/relationships/hyperlink" Target="https://www.transparencia.cdmx.gob.mx/storage/app/uploads/public/5d4/c7d/f18/5d4c7df186512958750856.pdf" TargetMode="External"/><Relationship Id="rId24" Type="http://schemas.openxmlformats.org/officeDocument/2006/relationships/hyperlink" Target="https://www.transparencia.cdmx.gob.mx/storage/app/uploads/public/5d4/c7d/f18/5d4c7df186512958750856.pdf" TargetMode="External"/><Relationship Id="rId32" Type="http://schemas.openxmlformats.org/officeDocument/2006/relationships/hyperlink" Target="https://www.transparencia.cdmx.gob.mx/storage/app/uploads/public/5d4/c7d/f18/5d4c7df186512958750856.pdf" TargetMode="External"/><Relationship Id="rId37" Type="http://schemas.openxmlformats.org/officeDocument/2006/relationships/hyperlink" Target="https://www.transparencia.cdmx.gob.mx/storage/app/uploads/public/5d4/c7d/f18/5d4c7df186512958750856.pdf" TargetMode="External"/><Relationship Id="rId40" Type="http://schemas.openxmlformats.org/officeDocument/2006/relationships/hyperlink" Target="https://www.transparencia.cdmx.gob.mx/storage/app/uploads/public/5d4/c7d/f18/5d4c7df186512958750856.pdf" TargetMode="External"/><Relationship Id="rId45" Type="http://schemas.openxmlformats.org/officeDocument/2006/relationships/hyperlink" Target="https://www.transparencia.cdmx.gob.mx/storage/app/uploads/public/5d4/c7d/f18/5d4c7df186512958750856.pdf" TargetMode="External"/><Relationship Id="rId53" Type="http://schemas.openxmlformats.org/officeDocument/2006/relationships/hyperlink" Target="https://www.transparencia.cdmx.gob.mx/storage/app/uploads/public/5d4/c7d/f18/5d4c7df186512958750856.pdf" TargetMode="External"/><Relationship Id="rId58" Type="http://schemas.openxmlformats.org/officeDocument/2006/relationships/hyperlink" Target="https://www.transparencia.cdmx.gob.mx/storage/app/uploads/public/5d4/c7d/f18/5d4c7df186512958750856.pdf" TargetMode="External"/><Relationship Id="rId66" Type="http://schemas.openxmlformats.org/officeDocument/2006/relationships/hyperlink" Target="https://www.transparencia.cdmx.gob.mx/storage/app/uploads/public/5d4/c7d/f18/5d4c7df186512958750856.pdf" TargetMode="External"/><Relationship Id="rId74" Type="http://schemas.openxmlformats.org/officeDocument/2006/relationships/hyperlink" Target="https://www.transparencia.cdmx.gob.mx/storage/app/uploads/public/5d4/c7d/f18/5d4c7df186512958750856.pdf" TargetMode="External"/><Relationship Id="rId79" Type="http://schemas.openxmlformats.org/officeDocument/2006/relationships/hyperlink" Target="https://www.transparencia.cdmx.gob.mx/storage/app/uploads/public/5d4/c7d/f18/5d4c7df186512958750856.pdf" TargetMode="External"/><Relationship Id="rId87" Type="http://schemas.openxmlformats.org/officeDocument/2006/relationships/hyperlink" Target="https://www.transparencia.cdmx.gob.mx/storage/app/uploads/public/5d4/c7d/f18/5d4c7df186512958750856.pdf" TargetMode="External"/><Relationship Id="rId102" Type="http://schemas.openxmlformats.org/officeDocument/2006/relationships/hyperlink" Target="https://www.transparencia.cdmx.gob.mx/storage/app/uploads/public/5e3/1ec/3fd/5e31ec3fd3567802179464.pdf" TargetMode="External"/><Relationship Id="rId5" Type="http://schemas.openxmlformats.org/officeDocument/2006/relationships/hyperlink" Target="https://www.transparencia.cdmx.gob.mx/storage/app/uploads/public/5d4/c7d/f18/5d4c7df186512958750856.pdf" TargetMode="External"/><Relationship Id="rId61" Type="http://schemas.openxmlformats.org/officeDocument/2006/relationships/hyperlink" Target="https://www.transparencia.cdmx.gob.mx/storage/app/uploads/public/5d4/c7d/f18/5d4c7df186512958750856.pdf" TargetMode="External"/><Relationship Id="rId82" Type="http://schemas.openxmlformats.org/officeDocument/2006/relationships/hyperlink" Target="https://www.transparencia.cdmx.gob.mx/storage/app/uploads/public/5d4/c7d/f18/5d4c7df186512958750856.pdf" TargetMode="External"/><Relationship Id="rId90" Type="http://schemas.openxmlformats.org/officeDocument/2006/relationships/hyperlink" Target="https://www.transparencia.cdmx.gob.mx/storage/app/uploads/public/5d4/c7d/f18/5d4c7df186512958750856.pdf" TargetMode="External"/><Relationship Id="rId95" Type="http://schemas.openxmlformats.org/officeDocument/2006/relationships/hyperlink" Target="https://www.transparencia.cdmx.gob.mx/storage/app/uploads/public/5d4/c7d/f18/5d4c7df186512958750856.pdf" TargetMode="External"/><Relationship Id="rId19" Type="http://schemas.openxmlformats.org/officeDocument/2006/relationships/hyperlink" Target="https://www.transparencia.cdmx.gob.mx/storage/app/uploads/public/5d4/c7d/f18/5d4c7df186512958750856.pdf" TargetMode="External"/><Relationship Id="rId14" Type="http://schemas.openxmlformats.org/officeDocument/2006/relationships/hyperlink" Target="https://www.transparencia.cdmx.gob.mx/storage/app/uploads/public/5d4/c7d/f18/5d4c7df186512958750856.pdf" TargetMode="External"/><Relationship Id="rId22" Type="http://schemas.openxmlformats.org/officeDocument/2006/relationships/hyperlink" Target="https://www.transparencia.cdmx.gob.mx/storage/app/uploads/public/5d4/c7d/f18/5d4c7df186512958750856.pdf" TargetMode="External"/><Relationship Id="rId27" Type="http://schemas.openxmlformats.org/officeDocument/2006/relationships/hyperlink" Target="https://www.transparencia.cdmx.gob.mx/storage/app/uploads/public/5d4/c7d/f18/5d4c7df186512958750856.pdf" TargetMode="External"/><Relationship Id="rId30" Type="http://schemas.openxmlformats.org/officeDocument/2006/relationships/hyperlink" Target="https://www.transparencia.cdmx.gob.mx/storage/app/uploads/public/5d4/c7d/f18/5d4c7df186512958750856.pdf" TargetMode="External"/><Relationship Id="rId35" Type="http://schemas.openxmlformats.org/officeDocument/2006/relationships/hyperlink" Target="https://www.transparencia.cdmx.gob.mx/storage/app/uploads/public/5d4/c7d/f18/5d4c7df186512958750856.pdf" TargetMode="External"/><Relationship Id="rId43" Type="http://schemas.openxmlformats.org/officeDocument/2006/relationships/hyperlink" Target="https://www.transparencia.cdmx.gob.mx/storage/app/uploads/public/5d4/c7d/f18/5d4c7df186512958750856.pdf" TargetMode="External"/><Relationship Id="rId48" Type="http://schemas.openxmlformats.org/officeDocument/2006/relationships/hyperlink" Target="https://www.transparencia.cdmx.gob.mx/storage/app/uploads/public/5d4/c7d/f18/5d4c7df186512958750856.pdf" TargetMode="External"/><Relationship Id="rId56" Type="http://schemas.openxmlformats.org/officeDocument/2006/relationships/hyperlink" Target="https://www.transparencia.cdmx.gob.mx/storage/app/uploads/public/5d4/c7d/f18/5d4c7df186512958750856.pdf" TargetMode="External"/><Relationship Id="rId64" Type="http://schemas.openxmlformats.org/officeDocument/2006/relationships/hyperlink" Target="https://www.transparencia.cdmx.gob.mx/storage/app/uploads/public/5d4/c7d/f18/5d4c7df186512958750856.pdf" TargetMode="External"/><Relationship Id="rId69" Type="http://schemas.openxmlformats.org/officeDocument/2006/relationships/hyperlink" Target="https://www.transparencia.cdmx.gob.mx/storage/app/uploads/public/5d4/c7d/f18/5d4c7df186512958750856.pdf" TargetMode="External"/><Relationship Id="rId77" Type="http://schemas.openxmlformats.org/officeDocument/2006/relationships/hyperlink" Target="https://www.transparencia.cdmx.gob.mx/storage/app/uploads/public/5d4/c7d/f18/5d4c7df186512958750856.pdf" TargetMode="External"/><Relationship Id="rId100" Type="http://schemas.openxmlformats.org/officeDocument/2006/relationships/hyperlink" Target="https://www.transparencia.cdmx.gob.mx/storage/app/uploads/public/5da/8c8/5ac/5da8c85ac6689962226372.pdf" TargetMode="External"/><Relationship Id="rId105" Type="http://schemas.openxmlformats.org/officeDocument/2006/relationships/hyperlink" Target="https://www.transparencia.cdmx.gob.mx/storage/app/uploads/public/5e3/1ec/3fd/5e31ec3fd3567802179464.pdf" TargetMode="External"/><Relationship Id="rId8" Type="http://schemas.openxmlformats.org/officeDocument/2006/relationships/hyperlink" Target="https://www.transparencia.cdmx.gob.mx/storage/app/uploads/public/5d4/c7d/f18/5d4c7df186512958750856.pdf" TargetMode="External"/><Relationship Id="rId51" Type="http://schemas.openxmlformats.org/officeDocument/2006/relationships/hyperlink" Target="https://www.transparencia.cdmx.gob.mx/storage/app/uploads/public/5d4/c7d/f18/5d4c7df186512958750856.pdf" TargetMode="External"/><Relationship Id="rId72" Type="http://schemas.openxmlformats.org/officeDocument/2006/relationships/hyperlink" Target="https://www.transparencia.cdmx.gob.mx/storage/app/uploads/public/5d4/c7d/f18/5d4c7df186512958750856.pdf" TargetMode="External"/><Relationship Id="rId80" Type="http://schemas.openxmlformats.org/officeDocument/2006/relationships/hyperlink" Target="https://www.transparencia.cdmx.gob.mx/storage/app/uploads/public/5d4/c7d/f18/5d4c7df186512958750856.pdf" TargetMode="External"/><Relationship Id="rId85" Type="http://schemas.openxmlformats.org/officeDocument/2006/relationships/hyperlink" Target="https://www.transparencia.cdmx.gob.mx/storage/app/uploads/public/5d4/c7d/f18/5d4c7df186512958750856.pdf" TargetMode="External"/><Relationship Id="rId93" Type="http://schemas.openxmlformats.org/officeDocument/2006/relationships/hyperlink" Target="https://www.transparencia.cdmx.gob.mx/storage/app/uploads/public/5d4/c7d/f18/5d4c7df186512958750856.pdf" TargetMode="External"/><Relationship Id="rId98" Type="http://schemas.openxmlformats.org/officeDocument/2006/relationships/hyperlink" Target="https://www.transparencia.cdmx.gob.mx/storage/app/uploads/public/5da/8c8/5ac/5da8c85ac6689962226372.pdf" TargetMode="External"/><Relationship Id="rId3" Type="http://schemas.openxmlformats.org/officeDocument/2006/relationships/hyperlink" Target="https://www.transparencia.cdmx.gob.mx/storage/app/uploads/public/5d4/c7d/f18/5d4c7df186512958750856.pdf" TargetMode="External"/><Relationship Id="rId12" Type="http://schemas.openxmlformats.org/officeDocument/2006/relationships/hyperlink" Target="https://www.transparencia.cdmx.gob.mx/storage/app/uploads/public/5d4/c7d/f18/5d4c7df186512958750856.pdf" TargetMode="External"/><Relationship Id="rId17" Type="http://schemas.openxmlformats.org/officeDocument/2006/relationships/hyperlink" Target="https://www.transparencia.cdmx.gob.mx/storage/app/uploads/public/5d4/c7d/f18/5d4c7df186512958750856.pdf" TargetMode="External"/><Relationship Id="rId25" Type="http://schemas.openxmlformats.org/officeDocument/2006/relationships/hyperlink" Target="https://www.transparencia.cdmx.gob.mx/storage/app/uploads/public/5d4/c7d/f18/5d4c7df186512958750856.pdf" TargetMode="External"/><Relationship Id="rId33" Type="http://schemas.openxmlformats.org/officeDocument/2006/relationships/hyperlink" Target="https://www.transparencia.cdmx.gob.mx/storage/app/uploads/public/5d4/c7d/f18/5d4c7df186512958750856.pdf" TargetMode="External"/><Relationship Id="rId38" Type="http://schemas.openxmlformats.org/officeDocument/2006/relationships/hyperlink" Target="https://www.transparencia.cdmx.gob.mx/storage/app/uploads/public/5d4/c7d/f18/5d4c7df186512958750856.pdf" TargetMode="External"/><Relationship Id="rId46" Type="http://schemas.openxmlformats.org/officeDocument/2006/relationships/hyperlink" Target="https://www.transparencia.cdmx.gob.mx/storage/app/uploads/public/5d4/c7d/f18/5d4c7df186512958750856.pdf" TargetMode="External"/><Relationship Id="rId59" Type="http://schemas.openxmlformats.org/officeDocument/2006/relationships/hyperlink" Target="https://www.transparencia.cdmx.gob.mx/storage/app/uploads/public/5d4/c7d/f18/5d4c7df186512958750856.pdf" TargetMode="External"/><Relationship Id="rId67" Type="http://schemas.openxmlformats.org/officeDocument/2006/relationships/hyperlink" Target="https://www.transparencia.cdmx.gob.mx/storage/app/uploads/public/5d4/c7d/f18/5d4c7df186512958750856.pdf" TargetMode="External"/><Relationship Id="rId103" Type="http://schemas.openxmlformats.org/officeDocument/2006/relationships/hyperlink" Target="https://www.transparencia.cdmx.gob.mx/storage/app/uploads/public/5e3/1ec/3fd/5e31ec3fd3567802179464.pdf" TargetMode="External"/><Relationship Id="rId108" Type="http://schemas.openxmlformats.org/officeDocument/2006/relationships/hyperlink" Target="https://www.transparencia.cdmx.gob.mx/storage/app/uploads/public/5e3/1ec/3fd/5e31ec3fd3567802179464.pdf" TargetMode="External"/><Relationship Id="rId20" Type="http://schemas.openxmlformats.org/officeDocument/2006/relationships/hyperlink" Target="https://www.transparencia.cdmx.gob.mx/storage/app/uploads/public/5d4/c7d/f18/5d4c7df186512958750856.pdf" TargetMode="External"/><Relationship Id="rId41" Type="http://schemas.openxmlformats.org/officeDocument/2006/relationships/hyperlink" Target="https://www.transparencia.cdmx.gob.mx/storage/app/uploads/public/5d4/c7d/f18/5d4c7df186512958750856.pdf" TargetMode="External"/><Relationship Id="rId54" Type="http://schemas.openxmlformats.org/officeDocument/2006/relationships/hyperlink" Target="https://www.transparencia.cdmx.gob.mx/storage/app/uploads/public/5d4/c7d/f18/5d4c7df186512958750856.pdf" TargetMode="External"/><Relationship Id="rId62" Type="http://schemas.openxmlformats.org/officeDocument/2006/relationships/hyperlink" Target="https://www.transparencia.cdmx.gob.mx/storage/app/uploads/public/5d4/c7d/f18/5d4c7df186512958750856.pdf" TargetMode="External"/><Relationship Id="rId70" Type="http://schemas.openxmlformats.org/officeDocument/2006/relationships/hyperlink" Target="https://www.transparencia.cdmx.gob.mx/storage/app/uploads/public/5d4/c7d/f18/5d4c7df186512958750856.pdf" TargetMode="External"/><Relationship Id="rId75" Type="http://schemas.openxmlformats.org/officeDocument/2006/relationships/hyperlink" Target="https://www.transparencia.cdmx.gob.mx/storage/app/uploads/public/5d4/c7d/f18/5d4c7df186512958750856.pdf" TargetMode="External"/><Relationship Id="rId83" Type="http://schemas.openxmlformats.org/officeDocument/2006/relationships/hyperlink" Target="https://www.transparencia.cdmx.gob.mx/storage/app/uploads/public/5d4/c7d/f18/5d4c7df186512958750856.pdf" TargetMode="External"/><Relationship Id="rId88" Type="http://schemas.openxmlformats.org/officeDocument/2006/relationships/hyperlink" Target="https://www.transparencia.cdmx.gob.mx/storage/app/uploads/public/5d4/c7d/f18/5d4c7df186512958750856.pdf" TargetMode="External"/><Relationship Id="rId91" Type="http://schemas.openxmlformats.org/officeDocument/2006/relationships/hyperlink" Target="https://www.transparencia.cdmx.gob.mx/storage/app/uploads/public/5d4/c7d/f18/5d4c7df186512958750856.pdf" TargetMode="External"/><Relationship Id="rId96" Type="http://schemas.openxmlformats.org/officeDocument/2006/relationships/hyperlink" Target="https://www.transparencia.cdmx.gob.mx/storage/app/uploads/public/5d4/c7d/f18/5d4c7df186512958750856.pdf" TargetMode="External"/><Relationship Id="rId1" Type="http://schemas.openxmlformats.org/officeDocument/2006/relationships/hyperlink" Target="https://www.transparencia.cdmx.gob.mx/storage/app/uploads/public/5d4/c7c/fdb/5d4c7cfdbdb55436479801.pdf" TargetMode="External"/><Relationship Id="rId6" Type="http://schemas.openxmlformats.org/officeDocument/2006/relationships/hyperlink" Target="https://www.transparencia.cdmx.gob.mx/storage/app/uploads/public/5d4/c7d/f18/5d4c7df186512958750856.pdf" TargetMode="External"/><Relationship Id="rId15" Type="http://schemas.openxmlformats.org/officeDocument/2006/relationships/hyperlink" Target="https://www.transparencia.cdmx.gob.mx/storage/app/uploads/public/5d4/c7d/f18/5d4c7df186512958750856.pdf" TargetMode="External"/><Relationship Id="rId23" Type="http://schemas.openxmlformats.org/officeDocument/2006/relationships/hyperlink" Target="https://www.transparencia.cdmx.gob.mx/storage/app/uploads/public/5d4/c7d/f18/5d4c7df186512958750856.pdf" TargetMode="External"/><Relationship Id="rId28" Type="http://schemas.openxmlformats.org/officeDocument/2006/relationships/hyperlink" Target="https://www.transparencia.cdmx.gob.mx/storage/app/uploads/public/5d4/c7d/f18/5d4c7df186512958750856.pdf" TargetMode="External"/><Relationship Id="rId36" Type="http://schemas.openxmlformats.org/officeDocument/2006/relationships/hyperlink" Target="https://www.transparencia.cdmx.gob.mx/storage/app/uploads/public/5d4/c7d/f18/5d4c7df186512958750856.pdf" TargetMode="External"/><Relationship Id="rId49" Type="http://schemas.openxmlformats.org/officeDocument/2006/relationships/hyperlink" Target="https://www.transparencia.cdmx.gob.mx/storage/app/uploads/public/5d4/c7d/f18/5d4c7df186512958750856.pdf" TargetMode="External"/><Relationship Id="rId57" Type="http://schemas.openxmlformats.org/officeDocument/2006/relationships/hyperlink" Target="https://www.transparencia.cdmx.gob.mx/storage/app/uploads/public/5d4/c7d/f18/5d4c7df186512958750856.pdf" TargetMode="External"/><Relationship Id="rId106" Type="http://schemas.openxmlformats.org/officeDocument/2006/relationships/hyperlink" Target="https://www.transparencia.cdmx.gob.mx/storage/app/uploads/public/5e3/1ec/3fd/5e31ec3fd3567802179464.pdf" TargetMode="External"/><Relationship Id="rId10" Type="http://schemas.openxmlformats.org/officeDocument/2006/relationships/hyperlink" Target="https://www.transparencia.cdmx.gob.mx/storage/app/uploads/public/5d4/c7d/f18/5d4c7df186512958750856.pdf" TargetMode="External"/><Relationship Id="rId31" Type="http://schemas.openxmlformats.org/officeDocument/2006/relationships/hyperlink" Target="https://www.transparencia.cdmx.gob.mx/storage/app/uploads/public/5d4/c7d/f18/5d4c7df186512958750856.pdf" TargetMode="External"/><Relationship Id="rId44" Type="http://schemas.openxmlformats.org/officeDocument/2006/relationships/hyperlink" Target="https://www.transparencia.cdmx.gob.mx/storage/app/uploads/public/5d4/c7d/f18/5d4c7df186512958750856.pdf" TargetMode="External"/><Relationship Id="rId52" Type="http://schemas.openxmlformats.org/officeDocument/2006/relationships/hyperlink" Target="https://www.transparencia.cdmx.gob.mx/storage/app/uploads/public/5d4/c7d/f18/5d4c7df186512958750856.pdf" TargetMode="External"/><Relationship Id="rId60" Type="http://schemas.openxmlformats.org/officeDocument/2006/relationships/hyperlink" Target="https://www.transparencia.cdmx.gob.mx/storage/app/uploads/public/5d4/c7d/f18/5d4c7df186512958750856.pdf" TargetMode="External"/><Relationship Id="rId65" Type="http://schemas.openxmlformats.org/officeDocument/2006/relationships/hyperlink" Target="https://www.transparencia.cdmx.gob.mx/storage/app/uploads/public/5d4/c7d/f18/5d4c7df186512958750856.pdf" TargetMode="External"/><Relationship Id="rId73" Type="http://schemas.openxmlformats.org/officeDocument/2006/relationships/hyperlink" Target="https://www.transparencia.cdmx.gob.mx/storage/app/uploads/public/5d4/c7d/f18/5d4c7df186512958750856.pdf" TargetMode="External"/><Relationship Id="rId78" Type="http://schemas.openxmlformats.org/officeDocument/2006/relationships/hyperlink" Target="https://www.transparencia.cdmx.gob.mx/storage/app/uploads/public/5d4/c7d/f18/5d4c7df186512958750856.pdf" TargetMode="External"/><Relationship Id="rId81" Type="http://schemas.openxmlformats.org/officeDocument/2006/relationships/hyperlink" Target="https://www.transparencia.cdmx.gob.mx/storage/app/uploads/public/5d4/c7d/f18/5d4c7df186512958750856.pdf" TargetMode="External"/><Relationship Id="rId86" Type="http://schemas.openxmlformats.org/officeDocument/2006/relationships/hyperlink" Target="https://www.transparencia.cdmx.gob.mx/storage/app/uploads/public/5d4/c7d/f18/5d4c7df186512958750856.pdf" TargetMode="External"/><Relationship Id="rId94" Type="http://schemas.openxmlformats.org/officeDocument/2006/relationships/hyperlink" Target="https://www.transparencia.cdmx.gob.mx/storage/app/uploads/public/5d4/c7d/f18/5d4c7df186512958750856.pdf" TargetMode="External"/><Relationship Id="rId99" Type="http://schemas.openxmlformats.org/officeDocument/2006/relationships/hyperlink" Target="https://www.transparencia.cdmx.gob.mx/storage/app/uploads/public/5da/8c8/5ac/5da8c85ac6689962226372.pdf" TargetMode="External"/><Relationship Id="rId101" Type="http://schemas.openxmlformats.org/officeDocument/2006/relationships/hyperlink" Target="https://www.transparencia.cdmx.gob.mx/storage/app/uploads/public/5e3/1ec/3fd/5e31ec3fd3567802179464.pdf" TargetMode="External"/><Relationship Id="rId4" Type="http://schemas.openxmlformats.org/officeDocument/2006/relationships/hyperlink" Target="https://www.transparencia.cdmx.gob.mx/storage/app/uploads/public/5d4/c7d/f18/5d4c7df186512958750856.pdf" TargetMode="External"/><Relationship Id="rId9" Type="http://schemas.openxmlformats.org/officeDocument/2006/relationships/hyperlink" Target="https://www.transparencia.cdmx.gob.mx/storage/app/uploads/public/5d4/c7d/f18/5d4c7df186512958750856.pdf" TargetMode="External"/><Relationship Id="rId13" Type="http://schemas.openxmlformats.org/officeDocument/2006/relationships/hyperlink" Target="https://www.transparencia.cdmx.gob.mx/storage/app/uploads/public/5d4/c7d/f18/5d4c7df186512958750856.pdf" TargetMode="External"/><Relationship Id="rId18" Type="http://schemas.openxmlformats.org/officeDocument/2006/relationships/hyperlink" Target="https://www.transparencia.cdmx.gob.mx/storage/app/uploads/public/5d4/c7d/f18/5d4c7df186512958750856.pdf" TargetMode="External"/><Relationship Id="rId39" Type="http://schemas.openxmlformats.org/officeDocument/2006/relationships/hyperlink" Target="https://www.transparencia.cdmx.gob.mx/storage/app/uploads/public/5d4/c7d/f18/5d4c7df186512958750856.pdf" TargetMode="External"/><Relationship Id="rId109" Type="http://schemas.openxmlformats.org/officeDocument/2006/relationships/hyperlink" Target="https://www.transparencia.cdmx.gob.mx/storage/app/uploads/public/5e3/1ec/3fd/5e31ec3fd3567802179464.pdf" TargetMode="External"/><Relationship Id="rId34" Type="http://schemas.openxmlformats.org/officeDocument/2006/relationships/hyperlink" Target="https://www.transparencia.cdmx.gob.mx/storage/app/uploads/public/5d4/c7d/f18/5d4c7df186512958750856.pdf" TargetMode="External"/><Relationship Id="rId50" Type="http://schemas.openxmlformats.org/officeDocument/2006/relationships/hyperlink" Target="https://www.transparencia.cdmx.gob.mx/storage/app/uploads/public/5d4/c7d/f18/5d4c7df186512958750856.pdf" TargetMode="External"/><Relationship Id="rId55" Type="http://schemas.openxmlformats.org/officeDocument/2006/relationships/hyperlink" Target="https://www.transparencia.cdmx.gob.mx/storage/app/uploads/public/5d4/c7d/f18/5d4c7df186512958750856.pdf" TargetMode="External"/><Relationship Id="rId76" Type="http://schemas.openxmlformats.org/officeDocument/2006/relationships/hyperlink" Target="https://www.transparencia.cdmx.gob.mx/storage/app/uploads/public/5d4/c7d/f18/5d4c7df186512958750856.pdf" TargetMode="External"/><Relationship Id="rId97" Type="http://schemas.openxmlformats.org/officeDocument/2006/relationships/hyperlink" Target="https://www.transparencia.cdmx.gob.mx/storage/app/uploads/public/5da/8c8/5ac/5da8c85ac6689962226372.pdf" TargetMode="External"/><Relationship Id="rId104" Type="http://schemas.openxmlformats.org/officeDocument/2006/relationships/hyperlink" Target="https://www.transparencia.cdmx.gob.mx/storage/app/uploads/public/5e3/1ec/3fd/5e31ec3fd3567802179464.pdf" TargetMode="External"/><Relationship Id="rId7" Type="http://schemas.openxmlformats.org/officeDocument/2006/relationships/hyperlink" Target="https://www.transparencia.cdmx.gob.mx/storage/app/uploads/public/5d4/c7d/f18/5d4c7df186512958750856.pdf" TargetMode="External"/><Relationship Id="rId71" Type="http://schemas.openxmlformats.org/officeDocument/2006/relationships/hyperlink" Target="https://www.transparencia.cdmx.gob.mx/storage/app/uploads/public/5d4/c7d/f18/5d4c7df186512958750856.pdf" TargetMode="External"/><Relationship Id="rId92" Type="http://schemas.openxmlformats.org/officeDocument/2006/relationships/hyperlink" Target="https://www.transparencia.cdmx.gob.mx/storage/app/uploads/public/5d4/c7d/f18/5d4c7df1865129587508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7"/>
  <sheetViews>
    <sheetView tabSelected="1" topLeftCell="A2" workbookViewId="0">
      <selection activeCell="A8" sqref="A8:S3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5">
        <v>2019</v>
      </c>
      <c r="B8" s="6">
        <v>43466</v>
      </c>
      <c r="C8" s="6">
        <v>43555</v>
      </c>
      <c r="D8" s="5">
        <v>1000</v>
      </c>
      <c r="E8" s="5">
        <v>1100</v>
      </c>
      <c r="F8" s="5">
        <v>1131</v>
      </c>
      <c r="G8" s="7" t="s">
        <v>53</v>
      </c>
      <c r="H8" s="8">
        <v>274168872</v>
      </c>
      <c r="I8" s="9">
        <v>274168872</v>
      </c>
      <c r="J8" s="9">
        <v>184216313.84999999</v>
      </c>
      <c r="K8" s="9">
        <v>61045170.710000001</v>
      </c>
      <c r="L8" s="9">
        <v>61045170.710000001</v>
      </c>
      <c r="M8" s="9">
        <v>61045170.710000001</v>
      </c>
      <c r="N8" s="10" t="s">
        <v>54</v>
      </c>
      <c r="O8" s="11" t="s">
        <v>55</v>
      </c>
      <c r="P8" s="5" t="s">
        <v>56</v>
      </c>
      <c r="Q8" s="12">
        <v>43567</v>
      </c>
      <c r="R8" s="12">
        <v>43555</v>
      </c>
      <c r="S8" s="5"/>
    </row>
    <row r="9" spans="1:19" ht="30" x14ac:dyDescent="0.25">
      <c r="A9" s="5">
        <v>2019</v>
      </c>
      <c r="B9" s="6">
        <v>43466</v>
      </c>
      <c r="C9" s="6">
        <v>43555</v>
      </c>
      <c r="D9" s="5">
        <v>1000</v>
      </c>
      <c r="E9" s="5" t="s">
        <v>57</v>
      </c>
      <c r="F9" s="5" t="s">
        <v>58</v>
      </c>
      <c r="G9" s="7" t="s">
        <v>59</v>
      </c>
      <c r="H9" s="8">
        <v>10284220</v>
      </c>
      <c r="I9" s="9">
        <v>10284220</v>
      </c>
      <c r="J9" s="9">
        <v>6830571.9800000004</v>
      </c>
      <c r="K9" s="9">
        <v>2262207.15</v>
      </c>
      <c r="L9" s="9">
        <v>2262207.15</v>
      </c>
      <c r="M9" s="9">
        <v>2262207.15</v>
      </c>
      <c r="N9" s="13"/>
      <c r="O9" s="11" t="s">
        <v>55</v>
      </c>
      <c r="P9" s="5" t="s">
        <v>56</v>
      </c>
      <c r="Q9" s="12">
        <v>43567</v>
      </c>
      <c r="R9" s="12">
        <v>43555</v>
      </c>
      <c r="S9" s="5"/>
    </row>
    <row r="10" spans="1:19" ht="30" x14ac:dyDescent="0.25">
      <c r="A10" s="5">
        <v>2019</v>
      </c>
      <c r="B10" s="6">
        <v>43466</v>
      </c>
      <c r="C10" s="6">
        <v>43555</v>
      </c>
      <c r="D10" s="5">
        <v>1000</v>
      </c>
      <c r="E10" s="5">
        <v>1300</v>
      </c>
      <c r="F10" s="5" t="s">
        <v>60</v>
      </c>
      <c r="G10" s="7" t="s">
        <v>61</v>
      </c>
      <c r="H10" s="8">
        <v>22975293</v>
      </c>
      <c r="I10" s="9">
        <v>22975293</v>
      </c>
      <c r="J10" s="9">
        <v>11042555.109999999</v>
      </c>
      <c r="K10" s="9">
        <v>4196204.54</v>
      </c>
      <c r="L10" s="9">
        <v>4196204.54</v>
      </c>
      <c r="M10" s="9">
        <v>4196204.54</v>
      </c>
      <c r="N10" s="13"/>
      <c r="O10" s="11" t="s">
        <v>55</v>
      </c>
      <c r="P10" s="5" t="s">
        <v>56</v>
      </c>
      <c r="Q10" s="12">
        <v>43567</v>
      </c>
      <c r="R10" s="12">
        <v>43555</v>
      </c>
      <c r="S10" s="5"/>
    </row>
    <row r="11" spans="1:19" ht="30" x14ac:dyDescent="0.25">
      <c r="A11" s="5">
        <v>2019</v>
      </c>
      <c r="B11" s="6">
        <v>43466</v>
      </c>
      <c r="C11" s="6">
        <v>43555</v>
      </c>
      <c r="D11" s="5">
        <v>1000</v>
      </c>
      <c r="E11" s="5">
        <v>1300</v>
      </c>
      <c r="F11" s="5" t="s">
        <v>62</v>
      </c>
      <c r="G11" s="7" t="s">
        <v>63</v>
      </c>
      <c r="H11" s="8">
        <v>5225548</v>
      </c>
      <c r="I11" s="9">
        <v>5225548</v>
      </c>
      <c r="J11" s="9">
        <v>3648854.65</v>
      </c>
      <c r="K11" s="9">
        <v>1242988.58</v>
      </c>
      <c r="L11" s="9">
        <v>1242988.58</v>
      </c>
      <c r="M11" s="9">
        <v>1242988.58</v>
      </c>
      <c r="N11" s="13"/>
      <c r="O11" s="11" t="s">
        <v>55</v>
      </c>
      <c r="P11" s="5" t="s">
        <v>56</v>
      </c>
      <c r="Q11" s="12">
        <v>43567</v>
      </c>
      <c r="R11" s="12">
        <v>43555</v>
      </c>
      <c r="S11" s="5"/>
    </row>
    <row r="12" spans="1:19" ht="30" x14ac:dyDescent="0.25">
      <c r="A12" s="5">
        <v>2019</v>
      </c>
      <c r="B12" s="6">
        <v>43466</v>
      </c>
      <c r="C12" s="6">
        <v>43555</v>
      </c>
      <c r="D12" s="5">
        <v>1000</v>
      </c>
      <c r="E12" s="5">
        <v>1300</v>
      </c>
      <c r="F12" s="5" t="s">
        <v>64</v>
      </c>
      <c r="G12" s="7" t="s">
        <v>65</v>
      </c>
      <c r="H12" s="8">
        <v>43041534</v>
      </c>
      <c r="I12" s="9">
        <v>43041534</v>
      </c>
      <c r="J12" s="9">
        <v>28430726.559999999</v>
      </c>
      <c r="K12" s="9">
        <v>10610834.91</v>
      </c>
      <c r="L12" s="9">
        <v>10610834.91</v>
      </c>
      <c r="M12" s="9">
        <v>10610834.91</v>
      </c>
      <c r="N12" s="13"/>
      <c r="O12" s="11" t="s">
        <v>55</v>
      </c>
      <c r="P12" s="5" t="s">
        <v>56</v>
      </c>
      <c r="Q12" s="12">
        <v>43567</v>
      </c>
      <c r="R12" s="12">
        <v>43555</v>
      </c>
      <c r="S12" s="5"/>
    </row>
    <row r="13" spans="1:19" ht="30" x14ac:dyDescent="0.25">
      <c r="A13" s="5">
        <v>2019</v>
      </c>
      <c r="B13" s="6">
        <v>43466</v>
      </c>
      <c r="C13" s="6">
        <v>43555</v>
      </c>
      <c r="D13" s="5">
        <v>1000</v>
      </c>
      <c r="E13" s="5">
        <v>1300</v>
      </c>
      <c r="F13" s="5" t="s">
        <v>66</v>
      </c>
      <c r="G13" s="7" t="s">
        <v>67</v>
      </c>
      <c r="H13" s="8">
        <v>9139470</v>
      </c>
      <c r="I13" s="9">
        <v>9139470</v>
      </c>
      <c r="J13" s="9">
        <v>7306853.6699999999</v>
      </c>
      <c r="K13" s="9">
        <v>1832616.33</v>
      </c>
      <c r="L13" s="9">
        <v>1832616.33</v>
      </c>
      <c r="M13" s="9">
        <v>1832616.33</v>
      </c>
      <c r="N13" s="13"/>
      <c r="O13" s="11" t="s">
        <v>55</v>
      </c>
      <c r="P13" s="5" t="s">
        <v>56</v>
      </c>
      <c r="Q13" s="12">
        <v>43567</v>
      </c>
      <c r="R13" s="12">
        <v>43555</v>
      </c>
      <c r="S13" s="5"/>
    </row>
    <row r="14" spans="1:19" ht="30" x14ac:dyDescent="0.25">
      <c r="A14" s="5">
        <v>2019</v>
      </c>
      <c r="B14" s="6">
        <v>43466</v>
      </c>
      <c r="C14" s="6">
        <v>43555</v>
      </c>
      <c r="D14" s="5">
        <v>1000</v>
      </c>
      <c r="E14" s="5">
        <v>1300</v>
      </c>
      <c r="F14" s="5" t="s">
        <v>68</v>
      </c>
      <c r="G14" s="7" t="s">
        <v>69</v>
      </c>
      <c r="H14" s="8">
        <v>16197870</v>
      </c>
      <c r="I14" s="9">
        <v>16197870</v>
      </c>
      <c r="J14" s="9">
        <v>13085789.42</v>
      </c>
      <c r="K14" s="9">
        <v>3112080.58</v>
      </c>
      <c r="L14" s="9">
        <v>3112080.58</v>
      </c>
      <c r="M14" s="9">
        <v>3112080.58</v>
      </c>
      <c r="N14" s="13"/>
      <c r="O14" s="11" t="s">
        <v>55</v>
      </c>
      <c r="P14" s="5" t="s">
        <v>56</v>
      </c>
      <c r="Q14" s="12">
        <v>43567</v>
      </c>
      <c r="R14" s="12">
        <v>43555</v>
      </c>
      <c r="S14" s="5"/>
    </row>
    <row r="15" spans="1:19" ht="30" x14ac:dyDescent="0.25">
      <c r="A15" s="5">
        <v>2019</v>
      </c>
      <c r="B15" s="6">
        <v>43466</v>
      </c>
      <c r="C15" s="6">
        <v>43555</v>
      </c>
      <c r="D15" s="5">
        <v>1000</v>
      </c>
      <c r="E15" s="5" t="s">
        <v>70</v>
      </c>
      <c r="F15" s="5" t="s">
        <v>71</v>
      </c>
      <c r="G15" s="7" t="s">
        <v>72</v>
      </c>
      <c r="H15" s="8">
        <v>77187567</v>
      </c>
      <c r="I15" s="9">
        <v>77187567</v>
      </c>
      <c r="J15" s="9">
        <v>54567090.140000001</v>
      </c>
      <c r="K15" s="9">
        <v>13609774.140000001</v>
      </c>
      <c r="L15" s="9">
        <v>13609774.140000001</v>
      </c>
      <c r="M15" s="9">
        <v>13609774.140000001</v>
      </c>
      <c r="N15" s="13"/>
      <c r="O15" s="11" t="s">
        <v>55</v>
      </c>
      <c r="P15" s="5" t="s">
        <v>56</v>
      </c>
      <c r="Q15" s="12">
        <v>43567</v>
      </c>
      <c r="R15" s="12">
        <v>43555</v>
      </c>
      <c r="S15" s="5"/>
    </row>
    <row r="16" spans="1:19" ht="30" x14ac:dyDescent="0.25">
      <c r="A16" s="5">
        <v>2019</v>
      </c>
      <c r="B16" s="6">
        <v>43466</v>
      </c>
      <c r="C16" s="6">
        <v>43555</v>
      </c>
      <c r="D16" s="5">
        <v>1000</v>
      </c>
      <c r="E16" s="5">
        <v>1400</v>
      </c>
      <c r="F16" s="5" t="s">
        <v>73</v>
      </c>
      <c r="G16" s="7" t="s">
        <v>74</v>
      </c>
      <c r="H16" s="8">
        <v>25150383</v>
      </c>
      <c r="I16" s="9">
        <v>25150383</v>
      </c>
      <c r="J16" s="9">
        <v>17985011.66</v>
      </c>
      <c r="K16" s="9">
        <v>5164135.12</v>
      </c>
      <c r="L16" s="9">
        <v>5164135.12</v>
      </c>
      <c r="M16" s="9">
        <v>5164135.12</v>
      </c>
      <c r="N16" s="13"/>
      <c r="O16" s="11" t="s">
        <v>55</v>
      </c>
      <c r="P16" s="5" t="s">
        <v>56</v>
      </c>
      <c r="Q16" s="12">
        <v>43567</v>
      </c>
      <c r="R16" s="12">
        <v>43555</v>
      </c>
      <c r="S16" s="5"/>
    </row>
    <row r="17" spans="1:19" ht="30" x14ac:dyDescent="0.25">
      <c r="A17" s="5">
        <v>2019</v>
      </c>
      <c r="B17" s="6">
        <v>43466</v>
      </c>
      <c r="C17" s="6">
        <v>43555</v>
      </c>
      <c r="D17" s="5">
        <v>1000</v>
      </c>
      <c r="E17" s="5">
        <v>1400</v>
      </c>
      <c r="F17" s="5" t="s">
        <v>75</v>
      </c>
      <c r="G17" s="7" t="s">
        <v>76</v>
      </c>
      <c r="H17" s="8">
        <v>31726580</v>
      </c>
      <c r="I17" s="9">
        <v>31726580</v>
      </c>
      <c r="J17" s="9">
        <v>23530695.379999999</v>
      </c>
      <c r="K17" s="9">
        <v>6425096.1699999999</v>
      </c>
      <c r="L17" s="9">
        <v>6425096.1699999999</v>
      </c>
      <c r="M17" s="9">
        <v>6425096.1699999999</v>
      </c>
      <c r="N17" s="13"/>
      <c r="O17" s="11" t="s">
        <v>55</v>
      </c>
      <c r="P17" s="5" t="s">
        <v>56</v>
      </c>
      <c r="Q17" s="12">
        <v>43567</v>
      </c>
      <c r="R17" s="12">
        <v>43555</v>
      </c>
      <c r="S17" s="5"/>
    </row>
    <row r="18" spans="1:19" ht="30" x14ac:dyDescent="0.25">
      <c r="A18" s="5">
        <v>2019</v>
      </c>
      <c r="B18" s="6">
        <v>43466</v>
      </c>
      <c r="C18" s="6">
        <v>43555</v>
      </c>
      <c r="D18" s="5">
        <v>1000</v>
      </c>
      <c r="E18" s="5">
        <v>1400</v>
      </c>
      <c r="F18" s="5" t="s">
        <v>77</v>
      </c>
      <c r="G18" s="7" t="s">
        <v>78</v>
      </c>
      <c r="H18" s="8">
        <v>3703336</v>
      </c>
      <c r="I18" s="9">
        <v>3703336</v>
      </c>
      <c r="J18" s="9">
        <v>3703336</v>
      </c>
      <c r="K18" s="9">
        <v>0</v>
      </c>
      <c r="L18" s="9">
        <v>0</v>
      </c>
      <c r="M18" s="9">
        <v>0</v>
      </c>
      <c r="N18" s="13"/>
      <c r="O18" s="11" t="s">
        <v>55</v>
      </c>
      <c r="P18" s="5" t="s">
        <v>56</v>
      </c>
      <c r="Q18" s="12">
        <v>43567</v>
      </c>
      <c r="R18" s="12">
        <v>43555</v>
      </c>
      <c r="S18" s="5"/>
    </row>
    <row r="19" spans="1:19" ht="30" x14ac:dyDescent="0.25">
      <c r="A19" s="5">
        <v>2019</v>
      </c>
      <c r="B19" s="6">
        <v>43466</v>
      </c>
      <c r="C19" s="6">
        <v>43555</v>
      </c>
      <c r="D19" s="5">
        <v>1000</v>
      </c>
      <c r="E19" s="5" t="s">
        <v>79</v>
      </c>
      <c r="F19" s="5" t="s">
        <v>80</v>
      </c>
      <c r="G19" s="7" t="s">
        <v>81</v>
      </c>
      <c r="H19" s="8">
        <v>45127468</v>
      </c>
      <c r="I19" s="9">
        <v>45127468</v>
      </c>
      <c r="J19" s="9">
        <v>30520045.149999999</v>
      </c>
      <c r="K19" s="9">
        <v>10431831.210000001</v>
      </c>
      <c r="L19" s="9">
        <v>10431831.210000001</v>
      </c>
      <c r="M19" s="9">
        <v>10431831.210000001</v>
      </c>
      <c r="N19" s="13"/>
      <c r="O19" s="11" t="s">
        <v>55</v>
      </c>
      <c r="P19" s="5" t="s">
        <v>56</v>
      </c>
      <c r="Q19" s="12">
        <v>43567</v>
      </c>
      <c r="R19" s="12">
        <v>43555</v>
      </c>
      <c r="S19" s="5"/>
    </row>
    <row r="20" spans="1:19" ht="30" x14ac:dyDescent="0.25">
      <c r="A20" s="5">
        <v>2019</v>
      </c>
      <c r="B20" s="6">
        <v>43466</v>
      </c>
      <c r="C20" s="6">
        <v>43555</v>
      </c>
      <c r="D20" s="5">
        <v>1000</v>
      </c>
      <c r="E20" s="5">
        <v>1500</v>
      </c>
      <c r="F20" s="5" t="s">
        <v>82</v>
      </c>
      <c r="G20" s="7" t="s">
        <v>83</v>
      </c>
      <c r="H20" s="8">
        <v>5000000</v>
      </c>
      <c r="I20" s="9">
        <v>5000000</v>
      </c>
      <c r="J20" s="9">
        <v>5000000</v>
      </c>
      <c r="K20" s="9">
        <v>0</v>
      </c>
      <c r="L20" s="9">
        <v>0</v>
      </c>
      <c r="M20" s="9">
        <v>0</v>
      </c>
      <c r="N20" s="13"/>
      <c r="O20" s="11" t="s">
        <v>55</v>
      </c>
      <c r="P20" s="5" t="s">
        <v>56</v>
      </c>
      <c r="Q20" s="12">
        <v>43567</v>
      </c>
      <c r="R20" s="12">
        <v>43555</v>
      </c>
      <c r="S20" s="5"/>
    </row>
    <row r="21" spans="1:19" ht="30" x14ac:dyDescent="0.25">
      <c r="A21" s="5">
        <v>2019</v>
      </c>
      <c r="B21" s="6">
        <v>43466</v>
      </c>
      <c r="C21" s="6">
        <v>43555</v>
      </c>
      <c r="D21" s="5">
        <v>1000</v>
      </c>
      <c r="E21" s="5">
        <v>1500</v>
      </c>
      <c r="F21" s="5" t="s">
        <v>84</v>
      </c>
      <c r="G21" s="7" t="s">
        <v>85</v>
      </c>
      <c r="H21" s="8">
        <v>50000000</v>
      </c>
      <c r="I21" s="9">
        <v>50000000</v>
      </c>
      <c r="J21" s="9">
        <v>42753148.609999999</v>
      </c>
      <c r="K21" s="9">
        <v>7246851.3899999997</v>
      </c>
      <c r="L21" s="9">
        <v>7246851.3899999997</v>
      </c>
      <c r="M21" s="9">
        <v>7246851.3899999997</v>
      </c>
      <c r="N21" s="13"/>
      <c r="O21" s="11" t="s">
        <v>55</v>
      </c>
      <c r="P21" s="5" t="s">
        <v>56</v>
      </c>
      <c r="Q21" s="12">
        <v>43567</v>
      </c>
      <c r="R21" s="12">
        <v>43555</v>
      </c>
      <c r="S21" s="5"/>
    </row>
    <row r="22" spans="1:19" ht="30" x14ac:dyDescent="0.25">
      <c r="A22" s="5">
        <v>2019</v>
      </c>
      <c r="B22" s="6">
        <v>43466</v>
      </c>
      <c r="C22" s="6">
        <v>43555</v>
      </c>
      <c r="D22" s="5">
        <v>1000</v>
      </c>
      <c r="E22" s="5">
        <v>1500</v>
      </c>
      <c r="F22" s="5" t="s">
        <v>86</v>
      </c>
      <c r="G22" s="7" t="s">
        <v>87</v>
      </c>
      <c r="H22" s="8">
        <f>19659885+41735622</f>
        <v>61395507</v>
      </c>
      <c r="I22" s="9">
        <f>19659885+41735622</f>
        <v>61395507</v>
      </c>
      <c r="J22" s="9">
        <v>13664383.800000001</v>
      </c>
      <c r="K22" s="9">
        <v>4197032.99</v>
      </c>
      <c r="L22" s="9">
        <v>4197032.99</v>
      </c>
      <c r="M22" s="9">
        <v>4197032.99</v>
      </c>
      <c r="N22" s="13"/>
      <c r="O22" s="11" t="s">
        <v>55</v>
      </c>
      <c r="P22" s="5" t="s">
        <v>56</v>
      </c>
      <c r="Q22" s="12">
        <v>43567</v>
      </c>
      <c r="R22" s="12">
        <v>43555</v>
      </c>
      <c r="S22" s="5"/>
    </row>
    <row r="23" spans="1:19" ht="30" x14ac:dyDescent="0.25">
      <c r="A23" s="5">
        <v>2019</v>
      </c>
      <c r="B23" s="6">
        <v>43466</v>
      </c>
      <c r="C23" s="6">
        <v>43555</v>
      </c>
      <c r="D23" s="5">
        <v>1000</v>
      </c>
      <c r="E23" s="5">
        <v>1500</v>
      </c>
      <c r="F23" s="5" t="s">
        <v>88</v>
      </c>
      <c r="G23" s="7" t="s">
        <v>89</v>
      </c>
      <c r="H23" s="8">
        <v>287152</v>
      </c>
      <c r="I23" s="9">
        <v>287152</v>
      </c>
      <c r="J23" s="9">
        <v>129989.25</v>
      </c>
      <c r="K23" s="9">
        <v>51389.05</v>
      </c>
      <c r="L23" s="9">
        <v>51389.05</v>
      </c>
      <c r="M23" s="9">
        <v>51389.05</v>
      </c>
      <c r="N23" s="13"/>
      <c r="O23" s="11" t="s">
        <v>55</v>
      </c>
      <c r="P23" s="5" t="s">
        <v>56</v>
      </c>
      <c r="Q23" s="12">
        <v>43567</v>
      </c>
      <c r="R23" s="12">
        <v>43555</v>
      </c>
      <c r="S23" s="5"/>
    </row>
    <row r="24" spans="1:19" ht="30" x14ac:dyDescent="0.25">
      <c r="A24" s="5">
        <v>2019</v>
      </c>
      <c r="B24" s="6">
        <v>43466</v>
      </c>
      <c r="C24" s="6">
        <v>43555</v>
      </c>
      <c r="D24" s="5">
        <v>1000</v>
      </c>
      <c r="E24" s="5">
        <v>1500</v>
      </c>
      <c r="F24" s="5" t="s">
        <v>90</v>
      </c>
      <c r="G24" s="7" t="s">
        <v>91</v>
      </c>
      <c r="H24" s="8">
        <v>12956151</v>
      </c>
      <c r="I24" s="9">
        <v>12956151</v>
      </c>
      <c r="J24" s="9">
        <v>7497418.46</v>
      </c>
      <c r="K24" s="9">
        <v>2408256.1</v>
      </c>
      <c r="L24" s="9">
        <v>2408256.1</v>
      </c>
      <c r="M24" s="9">
        <v>2408256.1</v>
      </c>
      <c r="N24" s="13"/>
      <c r="O24" s="11" t="s">
        <v>55</v>
      </c>
      <c r="P24" s="5" t="s">
        <v>56</v>
      </c>
      <c r="Q24" s="12">
        <v>43567</v>
      </c>
      <c r="R24" s="12">
        <v>43555</v>
      </c>
      <c r="S24" s="5"/>
    </row>
    <row r="25" spans="1:19" ht="30" x14ac:dyDescent="0.25">
      <c r="A25" s="5">
        <v>2019</v>
      </c>
      <c r="B25" s="6">
        <v>43466</v>
      </c>
      <c r="C25" s="6">
        <v>43555</v>
      </c>
      <c r="D25" s="5">
        <v>1000</v>
      </c>
      <c r="E25" s="5">
        <v>1500</v>
      </c>
      <c r="F25" s="5" t="s">
        <v>92</v>
      </c>
      <c r="G25" s="7" t="s">
        <v>93</v>
      </c>
      <c r="H25" s="8">
        <v>2751469</v>
      </c>
      <c r="I25" s="9">
        <v>2751469</v>
      </c>
      <c r="J25" s="9">
        <v>2672074.4500000002</v>
      </c>
      <c r="K25" s="9">
        <v>0</v>
      </c>
      <c r="L25" s="9">
        <v>0</v>
      </c>
      <c r="M25" s="9">
        <v>0</v>
      </c>
      <c r="N25" s="13"/>
      <c r="O25" s="11" t="s">
        <v>55</v>
      </c>
      <c r="P25" s="5" t="s">
        <v>56</v>
      </c>
      <c r="Q25" s="12">
        <v>43567</v>
      </c>
      <c r="R25" s="12">
        <v>43555</v>
      </c>
      <c r="S25" s="5"/>
    </row>
    <row r="26" spans="1:19" ht="30" x14ac:dyDescent="0.25">
      <c r="A26" s="5">
        <v>2019</v>
      </c>
      <c r="B26" s="6">
        <v>43466</v>
      </c>
      <c r="C26" s="6">
        <v>43555</v>
      </c>
      <c r="D26" s="5">
        <v>1000</v>
      </c>
      <c r="E26" s="5">
        <v>1500</v>
      </c>
      <c r="F26" s="5" t="s">
        <v>94</v>
      </c>
      <c r="G26" s="7" t="s">
        <v>95</v>
      </c>
      <c r="H26" s="8">
        <v>1000000</v>
      </c>
      <c r="I26" s="9">
        <v>1000000</v>
      </c>
      <c r="J26" s="9">
        <v>0</v>
      </c>
      <c r="K26" s="9">
        <v>0</v>
      </c>
      <c r="L26" s="9">
        <v>0</v>
      </c>
      <c r="M26" s="9">
        <v>0</v>
      </c>
      <c r="N26" s="13"/>
      <c r="O26" s="11" t="s">
        <v>55</v>
      </c>
      <c r="P26" s="5" t="s">
        <v>56</v>
      </c>
      <c r="Q26" s="12">
        <v>43567</v>
      </c>
      <c r="R26" s="12">
        <v>43555</v>
      </c>
      <c r="S26" s="5"/>
    </row>
    <row r="27" spans="1:19" ht="30" x14ac:dyDescent="0.25">
      <c r="A27" s="5">
        <v>2019</v>
      </c>
      <c r="B27" s="6">
        <v>43466</v>
      </c>
      <c r="C27" s="6">
        <v>43555</v>
      </c>
      <c r="D27" s="5">
        <v>1000</v>
      </c>
      <c r="E27" s="5">
        <v>1500</v>
      </c>
      <c r="F27" s="5" t="s">
        <v>96</v>
      </c>
      <c r="G27" s="7" t="s">
        <v>97</v>
      </c>
      <c r="H27" s="8">
        <v>2601522</v>
      </c>
      <c r="I27" s="9">
        <v>2601522</v>
      </c>
      <c r="J27" s="9">
        <v>564615.56999999995</v>
      </c>
      <c r="K27" s="9">
        <v>127225.43</v>
      </c>
      <c r="L27" s="9">
        <v>127225.43</v>
      </c>
      <c r="M27" s="9">
        <v>127225.43</v>
      </c>
      <c r="N27" s="13"/>
      <c r="O27" s="11" t="s">
        <v>55</v>
      </c>
      <c r="P27" s="5" t="s">
        <v>56</v>
      </c>
      <c r="Q27" s="12">
        <v>43567</v>
      </c>
      <c r="R27" s="12">
        <v>43555</v>
      </c>
      <c r="S27" s="5"/>
    </row>
    <row r="28" spans="1:19" ht="30" x14ac:dyDescent="0.25">
      <c r="A28" s="5">
        <v>2019</v>
      </c>
      <c r="B28" s="6">
        <v>43466</v>
      </c>
      <c r="C28" s="6">
        <v>43555</v>
      </c>
      <c r="D28" s="5">
        <v>1000</v>
      </c>
      <c r="E28" s="5">
        <v>1500</v>
      </c>
      <c r="F28" s="5" t="s">
        <v>98</v>
      </c>
      <c r="G28" s="7" t="s">
        <v>99</v>
      </c>
      <c r="H28" s="8">
        <v>22312852</v>
      </c>
      <c r="I28" s="9">
        <v>22312852</v>
      </c>
      <c r="J28" s="9">
        <v>16156425.789999999</v>
      </c>
      <c r="K28" s="9">
        <v>5250010.8099999996</v>
      </c>
      <c r="L28" s="9">
        <v>5250010.8099999996</v>
      </c>
      <c r="M28" s="9">
        <v>5250010.8099999996</v>
      </c>
      <c r="N28" s="13"/>
      <c r="O28" s="11" t="s">
        <v>55</v>
      </c>
      <c r="P28" s="5" t="s">
        <v>56</v>
      </c>
      <c r="Q28" s="12">
        <v>43567</v>
      </c>
      <c r="R28" s="12">
        <v>43555</v>
      </c>
      <c r="S28" s="5"/>
    </row>
    <row r="29" spans="1:19" ht="30" x14ac:dyDescent="0.25">
      <c r="A29" s="5">
        <v>2019</v>
      </c>
      <c r="B29" s="6">
        <v>43466</v>
      </c>
      <c r="C29" s="6">
        <v>43555</v>
      </c>
      <c r="D29" s="5">
        <v>1000</v>
      </c>
      <c r="E29" s="5">
        <v>1500</v>
      </c>
      <c r="F29" s="5" t="s">
        <v>100</v>
      </c>
      <c r="G29" s="7" t="s">
        <v>101</v>
      </c>
      <c r="H29" s="8">
        <v>169500</v>
      </c>
      <c r="I29" s="9">
        <v>169500</v>
      </c>
      <c r="J29" s="9">
        <v>0</v>
      </c>
      <c r="K29" s="9">
        <v>0</v>
      </c>
      <c r="L29" s="9">
        <v>0</v>
      </c>
      <c r="M29" s="9">
        <v>0</v>
      </c>
      <c r="N29" s="13"/>
      <c r="O29" s="11" t="s">
        <v>55</v>
      </c>
      <c r="P29" s="5" t="s">
        <v>56</v>
      </c>
      <c r="Q29" s="12">
        <v>43567</v>
      </c>
      <c r="R29" s="12">
        <v>43555</v>
      </c>
      <c r="S29" s="5"/>
    </row>
    <row r="30" spans="1:19" ht="30" x14ac:dyDescent="0.25">
      <c r="A30" s="5">
        <v>2019</v>
      </c>
      <c r="B30" s="6">
        <v>43466</v>
      </c>
      <c r="C30" s="6">
        <v>43555</v>
      </c>
      <c r="D30" s="5">
        <v>1000</v>
      </c>
      <c r="E30" s="5">
        <v>1500</v>
      </c>
      <c r="F30" s="5" t="s">
        <v>102</v>
      </c>
      <c r="G30" s="7" t="s">
        <v>103</v>
      </c>
      <c r="H30" s="8">
        <v>70000</v>
      </c>
      <c r="I30" s="9">
        <v>70000</v>
      </c>
      <c r="J30" s="9">
        <v>0</v>
      </c>
      <c r="K30" s="9">
        <v>0</v>
      </c>
      <c r="L30" s="9">
        <v>0</v>
      </c>
      <c r="M30" s="9">
        <v>0</v>
      </c>
      <c r="N30" s="13"/>
      <c r="O30" s="11" t="s">
        <v>55</v>
      </c>
      <c r="P30" s="5" t="s">
        <v>56</v>
      </c>
      <c r="Q30" s="12">
        <v>43567</v>
      </c>
      <c r="R30" s="12">
        <v>43555</v>
      </c>
      <c r="S30" s="5"/>
    </row>
    <row r="31" spans="1:19" ht="30" x14ac:dyDescent="0.25">
      <c r="A31" s="5">
        <v>2019</v>
      </c>
      <c r="B31" s="6">
        <v>43466</v>
      </c>
      <c r="C31" s="6">
        <v>43555</v>
      </c>
      <c r="D31" s="5">
        <v>1000</v>
      </c>
      <c r="E31" s="5">
        <v>1600</v>
      </c>
      <c r="F31" s="5">
        <v>1611</v>
      </c>
      <c r="G31" s="7" t="s">
        <v>104</v>
      </c>
      <c r="H31" s="8">
        <v>1032347</v>
      </c>
      <c r="I31" s="9">
        <v>1032347</v>
      </c>
      <c r="J31" s="9">
        <v>0</v>
      </c>
      <c r="K31" s="9">
        <v>0</v>
      </c>
      <c r="L31" s="9">
        <v>0</v>
      </c>
      <c r="M31" s="9">
        <v>0</v>
      </c>
      <c r="N31" s="13"/>
      <c r="O31" s="11" t="s">
        <v>55</v>
      </c>
      <c r="P31" s="5" t="s">
        <v>56</v>
      </c>
      <c r="Q31" s="12">
        <v>43567</v>
      </c>
      <c r="R31" s="12">
        <v>43555</v>
      </c>
      <c r="S31" s="5"/>
    </row>
    <row r="32" spans="1:19" ht="30" x14ac:dyDescent="0.25">
      <c r="A32" s="5">
        <v>2019</v>
      </c>
      <c r="B32" s="6">
        <v>43466</v>
      </c>
      <c r="C32" s="6">
        <v>43555</v>
      </c>
      <c r="D32" s="5">
        <v>1000</v>
      </c>
      <c r="E32" s="5" t="s">
        <v>105</v>
      </c>
      <c r="F32" s="5" t="s">
        <v>106</v>
      </c>
      <c r="G32" s="7" t="s">
        <v>107</v>
      </c>
      <c r="H32" s="8">
        <v>64975895</v>
      </c>
      <c r="I32" s="9">
        <v>64975895</v>
      </c>
      <c r="J32" s="9">
        <v>40377997.609999999</v>
      </c>
      <c r="K32" s="9">
        <v>13432221.43</v>
      </c>
      <c r="L32" s="9">
        <v>13432221.43</v>
      </c>
      <c r="M32" s="9">
        <v>13432221.43</v>
      </c>
      <c r="N32" s="13"/>
      <c r="O32" s="11" t="s">
        <v>55</v>
      </c>
      <c r="P32" s="5" t="s">
        <v>56</v>
      </c>
      <c r="Q32" s="12">
        <v>43567</v>
      </c>
      <c r="R32" s="12">
        <v>43555</v>
      </c>
      <c r="S32" s="5"/>
    </row>
    <row r="33" spans="1:19" ht="30" x14ac:dyDescent="0.25">
      <c r="A33" s="5">
        <v>2019</v>
      </c>
      <c r="B33" s="6">
        <v>43466</v>
      </c>
      <c r="C33" s="6">
        <v>43555</v>
      </c>
      <c r="D33" s="5">
        <v>2000</v>
      </c>
      <c r="E33" s="5" t="s">
        <v>108</v>
      </c>
      <c r="F33" s="5" t="s">
        <v>109</v>
      </c>
      <c r="G33" s="7" t="s">
        <v>110</v>
      </c>
      <c r="H33" s="8">
        <v>414090</v>
      </c>
      <c r="I33" s="9">
        <v>424090</v>
      </c>
      <c r="J33" s="9">
        <v>79600</v>
      </c>
      <c r="K33" s="9">
        <v>0</v>
      </c>
      <c r="L33" s="9">
        <v>0</v>
      </c>
      <c r="M33" s="9">
        <v>0</v>
      </c>
      <c r="N33" s="14" t="s">
        <v>111</v>
      </c>
      <c r="O33" s="11" t="s">
        <v>55</v>
      </c>
      <c r="P33" s="5" t="s">
        <v>56</v>
      </c>
      <c r="Q33" s="12">
        <v>43567</v>
      </c>
      <c r="R33" s="12">
        <v>43555</v>
      </c>
      <c r="S33" s="5"/>
    </row>
    <row r="34" spans="1:19" ht="30" x14ac:dyDescent="0.25">
      <c r="A34" s="5">
        <v>2019</v>
      </c>
      <c r="B34" s="6">
        <v>43466</v>
      </c>
      <c r="C34" s="6">
        <v>43555</v>
      </c>
      <c r="D34" s="5">
        <v>2000</v>
      </c>
      <c r="E34" s="5" t="s">
        <v>108</v>
      </c>
      <c r="F34" s="5" t="s">
        <v>112</v>
      </c>
      <c r="G34" s="7" t="s">
        <v>113</v>
      </c>
      <c r="H34" s="8">
        <v>42915</v>
      </c>
      <c r="I34" s="9">
        <v>42915</v>
      </c>
      <c r="J34" s="9">
        <v>0</v>
      </c>
      <c r="K34" s="9">
        <v>0</v>
      </c>
      <c r="L34" s="9">
        <v>0</v>
      </c>
      <c r="M34" s="9">
        <v>0</v>
      </c>
      <c r="N34" s="14"/>
      <c r="O34" s="11" t="s">
        <v>55</v>
      </c>
      <c r="P34" s="5" t="s">
        <v>56</v>
      </c>
      <c r="Q34" s="12">
        <v>43567</v>
      </c>
      <c r="R34" s="12">
        <v>43555</v>
      </c>
      <c r="S34" s="5"/>
    </row>
    <row r="35" spans="1:19" ht="30" x14ac:dyDescent="0.25">
      <c r="A35" s="5">
        <v>2019</v>
      </c>
      <c r="B35" s="6">
        <v>43466</v>
      </c>
      <c r="C35" s="6">
        <v>43555</v>
      </c>
      <c r="D35" s="5">
        <v>2000</v>
      </c>
      <c r="E35" s="5" t="s">
        <v>108</v>
      </c>
      <c r="F35" s="5" t="s">
        <v>114</v>
      </c>
      <c r="G35" s="7" t="s">
        <v>115</v>
      </c>
      <c r="H35" s="8">
        <v>150269</v>
      </c>
      <c r="I35" s="9">
        <v>1350269</v>
      </c>
      <c r="J35" s="9">
        <v>0</v>
      </c>
      <c r="K35" s="9">
        <v>0</v>
      </c>
      <c r="L35" s="9">
        <v>0</v>
      </c>
      <c r="M35" s="9">
        <v>0</v>
      </c>
      <c r="N35" s="14"/>
      <c r="O35" s="11" t="s">
        <v>55</v>
      </c>
      <c r="P35" s="5" t="s">
        <v>56</v>
      </c>
      <c r="Q35" s="12">
        <v>43567</v>
      </c>
      <c r="R35" s="12">
        <v>43555</v>
      </c>
      <c r="S35" s="5"/>
    </row>
    <row r="36" spans="1:19" ht="30" x14ac:dyDescent="0.25">
      <c r="A36" s="5">
        <v>2019</v>
      </c>
      <c r="B36" s="6">
        <v>43466</v>
      </c>
      <c r="C36" s="6">
        <v>43555</v>
      </c>
      <c r="D36" s="5">
        <v>2000</v>
      </c>
      <c r="E36" s="5" t="s">
        <v>108</v>
      </c>
      <c r="F36" s="5" t="s">
        <v>116</v>
      </c>
      <c r="G36" s="7" t="s">
        <v>117</v>
      </c>
      <c r="H36" s="8">
        <v>789706</v>
      </c>
      <c r="I36" s="9">
        <v>880053.43</v>
      </c>
      <c r="J36" s="9">
        <v>12200</v>
      </c>
      <c r="K36" s="9">
        <v>0</v>
      </c>
      <c r="L36" s="9">
        <v>0</v>
      </c>
      <c r="M36" s="9">
        <v>0</v>
      </c>
      <c r="N36" s="14"/>
      <c r="O36" s="11" t="s">
        <v>55</v>
      </c>
      <c r="P36" s="5" t="s">
        <v>56</v>
      </c>
      <c r="Q36" s="12">
        <v>43567</v>
      </c>
      <c r="R36" s="12">
        <v>43555</v>
      </c>
      <c r="S36" s="5"/>
    </row>
    <row r="37" spans="1:19" ht="30" x14ac:dyDescent="0.25">
      <c r="A37" s="5">
        <v>2019</v>
      </c>
      <c r="B37" s="6">
        <v>43466</v>
      </c>
      <c r="C37" s="6">
        <v>43555</v>
      </c>
      <c r="D37" s="5">
        <v>2000</v>
      </c>
      <c r="E37" s="5" t="s">
        <v>118</v>
      </c>
      <c r="F37" s="5" t="s">
        <v>119</v>
      </c>
      <c r="G37" s="7" t="s">
        <v>120</v>
      </c>
      <c r="H37" s="8">
        <v>322989</v>
      </c>
      <c r="I37" s="9">
        <v>322989</v>
      </c>
      <c r="J37" s="9">
        <v>90000</v>
      </c>
      <c r="K37" s="9">
        <v>0</v>
      </c>
      <c r="L37" s="9">
        <v>0</v>
      </c>
      <c r="M37" s="9">
        <v>0</v>
      </c>
      <c r="N37" s="14"/>
      <c r="O37" s="11" t="s">
        <v>55</v>
      </c>
      <c r="P37" s="5" t="s">
        <v>56</v>
      </c>
      <c r="Q37" s="12">
        <v>43567</v>
      </c>
      <c r="R37" s="12">
        <v>43555</v>
      </c>
      <c r="S37" s="5"/>
    </row>
    <row r="38" spans="1:19" ht="30" x14ac:dyDescent="0.25">
      <c r="A38" s="5">
        <v>2019</v>
      </c>
      <c r="B38" s="6">
        <v>43466</v>
      </c>
      <c r="C38" s="6">
        <v>43555</v>
      </c>
      <c r="D38" s="5">
        <v>2000</v>
      </c>
      <c r="E38" s="5" t="s">
        <v>121</v>
      </c>
      <c r="F38" s="5" t="s">
        <v>122</v>
      </c>
      <c r="G38" s="7" t="s">
        <v>123</v>
      </c>
      <c r="H38" s="8">
        <v>332837</v>
      </c>
      <c r="I38" s="9">
        <v>355164.2</v>
      </c>
      <c r="J38" s="9">
        <v>0</v>
      </c>
      <c r="K38" s="9">
        <v>0</v>
      </c>
      <c r="L38" s="9">
        <v>0</v>
      </c>
      <c r="M38" s="9">
        <v>0</v>
      </c>
      <c r="N38" s="14"/>
      <c r="O38" s="11" t="s">
        <v>55</v>
      </c>
      <c r="P38" s="5" t="s">
        <v>56</v>
      </c>
      <c r="Q38" s="12">
        <v>43567</v>
      </c>
      <c r="R38" s="12">
        <v>43555</v>
      </c>
      <c r="S38" s="5"/>
    </row>
    <row r="39" spans="1:19" ht="30" x14ac:dyDescent="0.25">
      <c r="A39" s="5">
        <v>2019</v>
      </c>
      <c r="B39" s="6">
        <v>43466</v>
      </c>
      <c r="C39" s="6">
        <v>43555</v>
      </c>
      <c r="D39" s="5">
        <v>2000</v>
      </c>
      <c r="E39" s="5" t="s">
        <v>121</v>
      </c>
      <c r="F39" s="5">
        <v>2421</v>
      </c>
      <c r="G39" s="7" t="s">
        <v>124</v>
      </c>
      <c r="H39" s="8">
        <v>243028</v>
      </c>
      <c r="I39" s="9">
        <v>220524.27</v>
      </c>
      <c r="J39" s="9">
        <v>0</v>
      </c>
      <c r="K39" s="9">
        <v>0</v>
      </c>
      <c r="L39" s="9">
        <v>0</v>
      </c>
      <c r="M39" s="9">
        <v>0</v>
      </c>
      <c r="N39" s="14"/>
      <c r="O39" s="11" t="s">
        <v>55</v>
      </c>
      <c r="P39" s="5" t="s">
        <v>56</v>
      </c>
      <c r="Q39" s="12">
        <v>43567</v>
      </c>
      <c r="R39" s="12">
        <v>43555</v>
      </c>
      <c r="S39" s="5"/>
    </row>
    <row r="40" spans="1:19" ht="30" x14ac:dyDescent="0.25">
      <c r="A40" s="5">
        <v>2019</v>
      </c>
      <c r="B40" s="6">
        <v>43466</v>
      </c>
      <c r="C40" s="6">
        <v>43555</v>
      </c>
      <c r="D40" s="5">
        <v>2000</v>
      </c>
      <c r="E40" s="5" t="s">
        <v>121</v>
      </c>
      <c r="F40" s="5">
        <v>2431</v>
      </c>
      <c r="G40" s="7" t="s">
        <v>125</v>
      </c>
      <c r="H40" s="8">
        <v>2970</v>
      </c>
      <c r="I40" s="9">
        <v>3692.82</v>
      </c>
      <c r="J40" s="9">
        <v>0</v>
      </c>
      <c r="K40" s="9">
        <v>0</v>
      </c>
      <c r="L40" s="9">
        <v>0</v>
      </c>
      <c r="M40" s="9">
        <v>0</v>
      </c>
      <c r="N40" s="14"/>
      <c r="O40" s="11" t="s">
        <v>55</v>
      </c>
      <c r="P40" s="5" t="s">
        <v>56</v>
      </c>
      <c r="Q40" s="12">
        <v>43567</v>
      </c>
      <c r="R40" s="12">
        <v>43555</v>
      </c>
      <c r="S40" s="5"/>
    </row>
    <row r="41" spans="1:19" ht="30" x14ac:dyDescent="0.25">
      <c r="A41" s="5">
        <v>2019</v>
      </c>
      <c r="B41" s="6">
        <v>43466</v>
      </c>
      <c r="C41" s="6">
        <v>43555</v>
      </c>
      <c r="D41" s="5">
        <v>2000</v>
      </c>
      <c r="E41" s="5" t="s">
        <v>121</v>
      </c>
      <c r="F41" s="5" t="s">
        <v>126</v>
      </c>
      <c r="G41" s="7" t="s">
        <v>127</v>
      </c>
      <c r="H41" s="8">
        <v>173212</v>
      </c>
      <c r="I41" s="9">
        <v>100406</v>
      </c>
      <c r="J41" s="9">
        <v>0</v>
      </c>
      <c r="K41" s="9">
        <v>0</v>
      </c>
      <c r="L41" s="9">
        <v>0</v>
      </c>
      <c r="M41" s="9">
        <v>0</v>
      </c>
      <c r="N41" s="14"/>
      <c r="O41" s="11" t="s">
        <v>55</v>
      </c>
      <c r="P41" s="5" t="s">
        <v>56</v>
      </c>
      <c r="Q41" s="12">
        <v>43567</v>
      </c>
      <c r="R41" s="12">
        <v>43555</v>
      </c>
      <c r="S41" s="5"/>
    </row>
    <row r="42" spans="1:19" ht="30" x14ac:dyDescent="0.25">
      <c r="A42" s="5">
        <v>2019</v>
      </c>
      <c r="B42" s="6">
        <v>43466</v>
      </c>
      <c r="C42" s="6">
        <v>43555</v>
      </c>
      <c r="D42" s="5">
        <v>2000</v>
      </c>
      <c r="E42" s="5" t="s">
        <v>121</v>
      </c>
      <c r="F42" s="5" t="s">
        <v>128</v>
      </c>
      <c r="G42" s="7" t="s">
        <v>129</v>
      </c>
      <c r="H42" s="8">
        <v>29386</v>
      </c>
      <c r="I42" s="9">
        <v>29386</v>
      </c>
      <c r="J42" s="9">
        <v>0</v>
      </c>
      <c r="K42" s="9">
        <v>0</v>
      </c>
      <c r="L42" s="9">
        <v>0</v>
      </c>
      <c r="M42" s="9">
        <v>0</v>
      </c>
      <c r="N42" s="13"/>
      <c r="O42" s="11" t="s">
        <v>55</v>
      </c>
      <c r="P42" s="5" t="s">
        <v>56</v>
      </c>
      <c r="Q42" s="12">
        <v>43567</v>
      </c>
      <c r="R42" s="12">
        <v>43555</v>
      </c>
      <c r="S42" s="5"/>
    </row>
    <row r="43" spans="1:19" ht="30" x14ac:dyDescent="0.25">
      <c r="A43" s="5">
        <v>2019</v>
      </c>
      <c r="B43" s="6">
        <v>43466</v>
      </c>
      <c r="C43" s="6">
        <v>43555</v>
      </c>
      <c r="D43" s="5">
        <v>2000</v>
      </c>
      <c r="E43" s="5" t="s">
        <v>121</v>
      </c>
      <c r="F43" s="5" t="s">
        <v>130</v>
      </c>
      <c r="G43" s="7" t="s">
        <v>131</v>
      </c>
      <c r="H43" s="8">
        <f>1117452+7637301</f>
        <v>8754753</v>
      </c>
      <c r="I43" s="9">
        <f>4022876.5+7637301</f>
        <v>11660177.5</v>
      </c>
      <c r="J43" s="9">
        <v>855400</v>
      </c>
      <c r="K43" s="9">
        <v>0</v>
      </c>
      <c r="L43" s="9">
        <v>0</v>
      </c>
      <c r="M43" s="9">
        <v>0</v>
      </c>
      <c r="N43" s="13"/>
      <c r="O43" s="11" t="s">
        <v>55</v>
      </c>
      <c r="P43" s="5" t="s">
        <v>56</v>
      </c>
      <c r="Q43" s="12">
        <v>43567</v>
      </c>
      <c r="R43" s="12">
        <v>43555</v>
      </c>
      <c r="S43" s="5"/>
    </row>
    <row r="44" spans="1:19" ht="30" x14ac:dyDescent="0.25">
      <c r="A44" s="5">
        <v>2019</v>
      </c>
      <c r="B44" s="6">
        <v>43466</v>
      </c>
      <c r="C44" s="6">
        <v>43555</v>
      </c>
      <c r="D44" s="5">
        <v>2000</v>
      </c>
      <c r="E44" s="5" t="s">
        <v>121</v>
      </c>
      <c r="F44" s="5" t="s">
        <v>132</v>
      </c>
      <c r="G44" s="7" t="s">
        <v>133</v>
      </c>
      <c r="H44" s="8">
        <v>1622546</v>
      </c>
      <c r="I44" s="9">
        <v>1701791.38</v>
      </c>
      <c r="J44" s="9">
        <v>200000</v>
      </c>
      <c r="K44" s="9">
        <v>0</v>
      </c>
      <c r="L44" s="9">
        <v>0</v>
      </c>
      <c r="M44" s="9">
        <v>0</v>
      </c>
      <c r="N44" s="13"/>
      <c r="O44" s="11" t="s">
        <v>55</v>
      </c>
      <c r="P44" s="5" t="s">
        <v>56</v>
      </c>
      <c r="Q44" s="12">
        <v>43567</v>
      </c>
      <c r="R44" s="12">
        <v>43555</v>
      </c>
      <c r="S44" s="5"/>
    </row>
    <row r="45" spans="1:19" ht="30" x14ac:dyDescent="0.25">
      <c r="A45" s="5">
        <v>2019</v>
      </c>
      <c r="B45" s="6">
        <v>43466</v>
      </c>
      <c r="C45" s="6">
        <v>43555</v>
      </c>
      <c r="D45" s="5">
        <v>2000</v>
      </c>
      <c r="E45" s="5" t="s">
        <v>121</v>
      </c>
      <c r="F45" s="5">
        <v>2481</v>
      </c>
      <c r="G45" s="7" t="s">
        <v>134</v>
      </c>
      <c r="H45" s="8">
        <v>20906</v>
      </c>
      <c r="I45" s="9">
        <v>0</v>
      </c>
      <c r="J45" s="9">
        <v>0</v>
      </c>
      <c r="K45" s="9">
        <v>0</v>
      </c>
      <c r="L45" s="9">
        <v>0</v>
      </c>
      <c r="M45" s="9">
        <v>0</v>
      </c>
      <c r="N45" s="13"/>
      <c r="O45" s="11" t="s">
        <v>55</v>
      </c>
      <c r="P45" s="5" t="s">
        <v>56</v>
      </c>
      <c r="Q45" s="12">
        <v>43567</v>
      </c>
      <c r="R45" s="12">
        <v>43555</v>
      </c>
      <c r="S45" s="5"/>
    </row>
    <row r="46" spans="1:19" ht="30" x14ac:dyDescent="0.25">
      <c r="A46" s="5">
        <v>2019</v>
      </c>
      <c r="B46" s="6">
        <v>43466</v>
      </c>
      <c r="C46" s="6">
        <v>43555</v>
      </c>
      <c r="D46" s="5">
        <v>2000</v>
      </c>
      <c r="E46" s="5" t="s">
        <v>121</v>
      </c>
      <c r="F46" s="5" t="s">
        <v>135</v>
      </c>
      <c r="G46" s="7" t="s">
        <v>136</v>
      </c>
      <c r="H46" s="8">
        <v>1153462</v>
      </c>
      <c r="I46" s="9">
        <v>1424964.74</v>
      </c>
      <c r="J46" s="9">
        <v>120004.62</v>
      </c>
      <c r="K46" s="9">
        <v>3495.38</v>
      </c>
      <c r="L46" s="9">
        <v>3495.38</v>
      </c>
      <c r="M46" s="9">
        <v>3495.38</v>
      </c>
      <c r="N46" s="13"/>
      <c r="O46" s="11" t="s">
        <v>55</v>
      </c>
      <c r="P46" s="5" t="s">
        <v>56</v>
      </c>
      <c r="Q46" s="12">
        <v>43567</v>
      </c>
      <c r="R46" s="12">
        <v>43555</v>
      </c>
      <c r="S46" s="5"/>
    </row>
    <row r="47" spans="1:19" ht="30" x14ac:dyDescent="0.25">
      <c r="A47" s="5">
        <v>2019</v>
      </c>
      <c r="B47" s="6">
        <v>43466</v>
      </c>
      <c r="C47" s="6">
        <v>43555</v>
      </c>
      <c r="D47" s="5">
        <v>2000</v>
      </c>
      <c r="E47" s="5" t="s">
        <v>137</v>
      </c>
      <c r="F47" s="5" t="s">
        <v>138</v>
      </c>
      <c r="G47" s="7" t="s">
        <v>139</v>
      </c>
      <c r="H47" s="8">
        <v>37822</v>
      </c>
      <c r="I47" s="9">
        <v>20000</v>
      </c>
      <c r="J47" s="9">
        <v>0</v>
      </c>
      <c r="K47" s="9">
        <v>0</v>
      </c>
      <c r="L47" s="9">
        <v>0</v>
      </c>
      <c r="M47" s="9">
        <v>0</v>
      </c>
      <c r="N47" s="13"/>
      <c r="O47" s="11" t="s">
        <v>55</v>
      </c>
      <c r="P47" s="5" t="s">
        <v>56</v>
      </c>
      <c r="Q47" s="12">
        <v>43567</v>
      </c>
      <c r="R47" s="12">
        <v>43555</v>
      </c>
      <c r="S47" s="5"/>
    </row>
    <row r="48" spans="1:19" ht="30" x14ac:dyDescent="0.25">
      <c r="A48" s="5">
        <v>2019</v>
      </c>
      <c r="B48" s="6">
        <v>43466</v>
      </c>
      <c r="C48" s="6">
        <v>43555</v>
      </c>
      <c r="D48" s="5">
        <v>2000</v>
      </c>
      <c r="E48" s="5" t="s">
        <v>137</v>
      </c>
      <c r="F48" s="5" t="s">
        <v>140</v>
      </c>
      <c r="G48" s="7" t="s">
        <v>141</v>
      </c>
      <c r="H48" s="8">
        <v>562839</v>
      </c>
      <c r="I48" s="9">
        <v>562839</v>
      </c>
      <c r="J48" s="9">
        <v>0</v>
      </c>
      <c r="K48" s="9">
        <v>0</v>
      </c>
      <c r="L48" s="9">
        <v>0</v>
      </c>
      <c r="M48" s="9">
        <v>0</v>
      </c>
      <c r="N48" s="13"/>
      <c r="O48" s="11" t="s">
        <v>55</v>
      </c>
      <c r="P48" s="5" t="s">
        <v>56</v>
      </c>
      <c r="Q48" s="12">
        <v>43567</v>
      </c>
      <c r="R48" s="12">
        <v>43555</v>
      </c>
      <c r="S48" s="5"/>
    </row>
    <row r="49" spans="1:19" ht="30" x14ac:dyDescent="0.25">
      <c r="A49" s="5">
        <v>2019</v>
      </c>
      <c r="B49" s="6">
        <v>43466</v>
      </c>
      <c r="C49" s="6">
        <v>43555</v>
      </c>
      <c r="D49" s="5">
        <v>2000</v>
      </c>
      <c r="E49" s="5" t="s">
        <v>137</v>
      </c>
      <c r="F49" s="5" t="s">
        <v>142</v>
      </c>
      <c r="G49" s="7" t="s">
        <v>143</v>
      </c>
      <c r="H49" s="8">
        <v>116347</v>
      </c>
      <c r="I49" s="9">
        <v>116347</v>
      </c>
      <c r="J49" s="9">
        <v>0</v>
      </c>
      <c r="K49" s="9">
        <v>0</v>
      </c>
      <c r="L49" s="9">
        <v>0</v>
      </c>
      <c r="M49" s="9">
        <v>0</v>
      </c>
      <c r="N49" s="13"/>
      <c r="O49" s="11" t="s">
        <v>55</v>
      </c>
      <c r="P49" s="5" t="s">
        <v>56</v>
      </c>
      <c r="Q49" s="12">
        <v>43567</v>
      </c>
      <c r="R49" s="12">
        <v>43555</v>
      </c>
      <c r="S49" s="5"/>
    </row>
    <row r="50" spans="1:19" ht="30" x14ac:dyDescent="0.25">
      <c r="A50" s="5">
        <v>2019</v>
      </c>
      <c r="B50" s="6">
        <v>43466</v>
      </c>
      <c r="C50" s="6">
        <v>43555</v>
      </c>
      <c r="D50" s="5">
        <v>2000</v>
      </c>
      <c r="E50" s="5" t="s">
        <v>137</v>
      </c>
      <c r="F50" s="5" t="s">
        <v>144</v>
      </c>
      <c r="G50" s="7" t="s">
        <v>145</v>
      </c>
      <c r="H50" s="8">
        <v>403543</v>
      </c>
      <c r="I50" s="9">
        <v>432061.9</v>
      </c>
      <c r="J50" s="9">
        <v>0</v>
      </c>
      <c r="K50" s="9">
        <v>0</v>
      </c>
      <c r="L50" s="9">
        <v>0</v>
      </c>
      <c r="M50" s="9">
        <v>0</v>
      </c>
      <c r="N50" s="13"/>
      <c r="O50" s="11" t="s">
        <v>55</v>
      </c>
      <c r="P50" s="5" t="s">
        <v>56</v>
      </c>
      <c r="Q50" s="12">
        <v>43567</v>
      </c>
      <c r="R50" s="12">
        <v>43555</v>
      </c>
      <c r="S50" s="5"/>
    </row>
    <row r="51" spans="1:19" ht="30" x14ac:dyDescent="0.25">
      <c r="A51" s="5">
        <v>2019</v>
      </c>
      <c r="B51" s="6">
        <v>43466</v>
      </c>
      <c r="C51" s="6">
        <v>43555</v>
      </c>
      <c r="D51" s="5">
        <v>2000</v>
      </c>
      <c r="E51" s="5" t="s">
        <v>137</v>
      </c>
      <c r="F51" s="5" t="s">
        <v>146</v>
      </c>
      <c r="G51" s="7" t="s">
        <v>147</v>
      </c>
      <c r="H51" s="8">
        <v>199649</v>
      </c>
      <c r="I51" s="9">
        <v>245426.69</v>
      </c>
      <c r="J51" s="9">
        <v>20000</v>
      </c>
      <c r="K51" s="9">
        <v>0</v>
      </c>
      <c r="L51" s="9">
        <v>0</v>
      </c>
      <c r="M51" s="9">
        <v>0</v>
      </c>
      <c r="N51" s="13"/>
      <c r="O51" s="11" t="s">
        <v>55</v>
      </c>
      <c r="P51" s="5" t="s">
        <v>56</v>
      </c>
      <c r="Q51" s="12">
        <v>43567</v>
      </c>
      <c r="R51" s="12">
        <v>43555</v>
      </c>
      <c r="S51" s="5"/>
    </row>
    <row r="52" spans="1:19" ht="30" x14ac:dyDescent="0.25">
      <c r="A52" s="5">
        <v>2019</v>
      </c>
      <c r="B52" s="6">
        <v>43466</v>
      </c>
      <c r="C52" s="6">
        <v>43555</v>
      </c>
      <c r="D52" s="5">
        <v>2000</v>
      </c>
      <c r="E52" s="5" t="s">
        <v>148</v>
      </c>
      <c r="F52" s="5" t="s">
        <v>149</v>
      </c>
      <c r="G52" s="7" t="s">
        <v>150</v>
      </c>
      <c r="H52" s="8">
        <v>9199696</v>
      </c>
      <c r="I52" s="9">
        <v>7637054.5199999996</v>
      </c>
      <c r="J52" s="9">
        <v>1208770.3400000001</v>
      </c>
      <c r="K52" s="9">
        <v>965229.66</v>
      </c>
      <c r="L52" s="9">
        <v>965229.66</v>
      </c>
      <c r="M52" s="9">
        <v>965229.66</v>
      </c>
      <c r="N52" s="13"/>
      <c r="O52" s="11" t="s">
        <v>55</v>
      </c>
      <c r="P52" s="5" t="s">
        <v>56</v>
      </c>
      <c r="Q52" s="12">
        <v>43567</v>
      </c>
      <c r="R52" s="12">
        <v>43555</v>
      </c>
      <c r="S52" s="5"/>
    </row>
    <row r="53" spans="1:19" ht="30" x14ac:dyDescent="0.25">
      <c r="A53" s="5">
        <v>2019</v>
      </c>
      <c r="B53" s="6">
        <v>43466</v>
      </c>
      <c r="C53" s="6">
        <v>43555</v>
      </c>
      <c r="D53" s="5">
        <v>2000</v>
      </c>
      <c r="E53" s="5" t="s">
        <v>148</v>
      </c>
      <c r="F53" s="5" t="s">
        <v>151</v>
      </c>
      <c r="G53" s="7" t="s">
        <v>152</v>
      </c>
      <c r="H53" s="8">
        <v>20737</v>
      </c>
      <c r="I53" s="9">
        <v>40000</v>
      </c>
      <c r="J53" s="9">
        <v>40000</v>
      </c>
      <c r="K53" s="9">
        <v>0</v>
      </c>
      <c r="L53" s="9">
        <v>0</v>
      </c>
      <c r="M53" s="9">
        <v>0</v>
      </c>
      <c r="N53" s="13"/>
      <c r="O53" s="11" t="s">
        <v>55</v>
      </c>
      <c r="P53" s="5" t="s">
        <v>56</v>
      </c>
      <c r="Q53" s="12">
        <v>43567</v>
      </c>
      <c r="R53" s="12">
        <v>43555</v>
      </c>
      <c r="S53" s="5"/>
    </row>
    <row r="54" spans="1:19" ht="30" x14ac:dyDescent="0.25">
      <c r="A54" s="5">
        <v>2019</v>
      </c>
      <c r="B54" s="6">
        <v>43466</v>
      </c>
      <c r="C54" s="6">
        <v>43555</v>
      </c>
      <c r="D54" s="5">
        <v>2000</v>
      </c>
      <c r="E54" s="5" t="s">
        <v>153</v>
      </c>
      <c r="F54" s="5" t="s">
        <v>154</v>
      </c>
      <c r="G54" s="7" t="s">
        <v>155</v>
      </c>
      <c r="H54" s="8">
        <f>12906315+3145213</f>
        <v>16051528</v>
      </c>
      <c r="I54" s="9">
        <f>12906315+3145213</f>
        <v>16051528</v>
      </c>
      <c r="J54" s="9">
        <v>0</v>
      </c>
      <c r="K54" s="9">
        <v>0</v>
      </c>
      <c r="L54" s="9">
        <v>0</v>
      </c>
      <c r="M54" s="9">
        <v>0</v>
      </c>
      <c r="N54" s="13"/>
      <c r="O54" s="11" t="s">
        <v>55</v>
      </c>
      <c r="P54" s="5" t="s">
        <v>56</v>
      </c>
      <c r="Q54" s="12">
        <v>43567</v>
      </c>
      <c r="R54" s="12">
        <v>43555</v>
      </c>
      <c r="S54" s="5"/>
    </row>
    <row r="55" spans="1:19" ht="30" x14ac:dyDescent="0.25">
      <c r="A55" s="5">
        <v>2019</v>
      </c>
      <c r="B55" s="6">
        <v>43466</v>
      </c>
      <c r="C55" s="6">
        <v>43555</v>
      </c>
      <c r="D55" s="5">
        <v>2000</v>
      </c>
      <c r="E55" s="5" t="s">
        <v>153</v>
      </c>
      <c r="F55" s="5" t="s">
        <v>156</v>
      </c>
      <c r="G55" s="7" t="s">
        <v>157</v>
      </c>
      <c r="H55" s="8">
        <v>8658853</v>
      </c>
      <c r="I55" s="9">
        <v>8658853</v>
      </c>
      <c r="J55" s="9">
        <v>0</v>
      </c>
      <c r="K55" s="9">
        <v>0</v>
      </c>
      <c r="L55" s="9">
        <v>0</v>
      </c>
      <c r="M55" s="9">
        <v>0</v>
      </c>
      <c r="N55" s="13"/>
      <c r="O55" s="11" t="s">
        <v>55</v>
      </c>
      <c r="P55" s="5" t="s">
        <v>56</v>
      </c>
      <c r="Q55" s="12">
        <v>43567</v>
      </c>
      <c r="R55" s="12">
        <v>43555</v>
      </c>
      <c r="S55" s="5"/>
    </row>
    <row r="56" spans="1:19" ht="30" x14ac:dyDescent="0.25">
      <c r="A56" s="5">
        <v>2019</v>
      </c>
      <c r="B56" s="6">
        <v>43466</v>
      </c>
      <c r="C56" s="6">
        <v>43555</v>
      </c>
      <c r="D56" s="5">
        <v>2000</v>
      </c>
      <c r="E56" s="5" t="s">
        <v>158</v>
      </c>
      <c r="F56" s="5" t="s">
        <v>159</v>
      </c>
      <c r="G56" s="7" t="s">
        <v>160</v>
      </c>
      <c r="H56" s="8">
        <v>959185</v>
      </c>
      <c r="I56" s="9">
        <v>1377747.55</v>
      </c>
      <c r="J56" s="9">
        <v>230000</v>
      </c>
      <c r="K56" s="9">
        <v>0</v>
      </c>
      <c r="L56" s="9">
        <v>0</v>
      </c>
      <c r="M56" s="9">
        <v>0</v>
      </c>
      <c r="N56" s="13"/>
      <c r="O56" s="11" t="s">
        <v>55</v>
      </c>
      <c r="P56" s="5" t="s">
        <v>56</v>
      </c>
      <c r="Q56" s="12">
        <v>43567</v>
      </c>
      <c r="R56" s="12">
        <v>43555</v>
      </c>
      <c r="S56" s="5"/>
    </row>
    <row r="57" spans="1:19" ht="30" x14ac:dyDescent="0.25">
      <c r="A57" s="5">
        <v>2019</v>
      </c>
      <c r="B57" s="6">
        <v>43466</v>
      </c>
      <c r="C57" s="6">
        <v>43555</v>
      </c>
      <c r="D57" s="5">
        <v>2000</v>
      </c>
      <c r="E57" s="5" t="s">
        <v>158</v>
      </c>
      <c r="F57" s="5" t="s">
        <v>161</v>
      </c>
      <c r="G57" s="7" t="s">
        <v>162</v>
      </c>
      <c r="H57" s="8">
        <v>5939</v>
      </c>
      <c r="I57" s="9">
        <v>33796.22</v>
      </c>
      <c r="J57" s="9">
        <v>7500</v>
      </c>
      <c r="K57" s="9">
        <v>0</v>
      </c>
      <c r="L57" s="9">
        <v>0</v>
      </c>
      <c r="M57" s="9">
        <v>0</v>
      </c>
      <c r="N57" s="13"/>
      <c r="O57" s="11" t="s">
        <v>55</v>
      </c>
      <c r="P57" s="5" t="s">
        <v>56</v>
      </c>
      <c r="Q57" s="12">
        <v>43567</v>
      </c>
      <c r="R57" s="12">
        <v>43555</v>
      </c>
      <c r="S57" s="5"/>
    </row>
    <row r="58" spans="1:19" ht="30" x14ac:dyDescent="0.25">
      <c r="A58" s="5">
        <v>2019</v>
      </c>
      <c r="B58" s="6">
        <v>43466</v>
      </c>
      <c r="C58" s="6">
        <v>43555</v>
      </c>
      <c r="D58" s="5">
        <v>2000</v>
      </c>
      <c r="E58" s="5" t="s">
        <v>158</v>
      </c>
      <c r="F58" s="5" t="s">
        <v>163</v>
      </c>
      <c r="G58" s="7" t="s">
        <v>164</v>
      </c>
      <c r="H58" s="8">
        <v>40203</v>
      </c>
      <c r="I58" s="9">
        <v>440203</v>
      </c>
      <c r="J58" s="9">
        <v>0</v>
      </c>
      <c r="K58" s="9">
        <v>0</v>
      </c>
      <c r="L58" s="9">
        <v>0</v>
      </c>
      <c r="M58" s="9">
        <v>0</v>
      </c>
      <c r="N58" s="13"/>
      <c r="O58" s="11" t="s">
        <v>55</v>
      </c>
      <c r="P58" s="5" t="s">
        <v>56</v>
      </c>
      <c r="Q58" s="12">
        <v>43567</v>
      </c>
      <c r="R58" s="12">
        <v>43555</v>
      </c>
      <c r="S58" s="5"/>
    </row>
    <row r="59" spans="1:19" ht="30" x14ac:dyDescent="0.25">
      <c r="A59" s="5">
        <v>2019</v>
      </c>
      <c r="B59" s="6">
        <v>43466</v>
      </c>
      <c r="C59" s="6">
        <v>43555</v>
      </c>
      <c r="D59" s="5">
        <v>2000</v>
      </c>
      <c r="E59" s="5" t="s">
        <v>158</v>
      </c>
      <c r="F59" s="5" t="s">
        <v>165</v>
      </c>
      <c r="G59" s="7" t="s">
        <v>166</v>
      </c>
      <c r="H59" s="8">
        <f>7880410+12239578</f>
        <v>20119988</v>
      </c>
      <c r="I59" s="9">
        <f>5238715.77+12239578</f>
        <v>17478293.77</v>
      </c>
      <c r="J59" s="9">
        <v>1125600</v>
      </c>
      <c r="K59" s="9">
        <f>40608.53+754150.8</f>
        <v>794759.33000000007</v>
      </c>
      <c r="L59" s="9">
        <f t="shared" ref="L59:M59" si="0">40608.53+754150.8</f>
        <v>794759.33000000007</v>
      </c>
      <c r="M59" s="9">
        <f t="shared" si="0"/>
        <v>794759.33000000007</v>
      </c>
      <c r="N59" s="13"/>
      <c r="O59" s="11" t="s">
        <v>55</v>
      </c>
      <c r="P59" s="5" t="s">
        <v>56</v>
      </c>
      <c r="Q59" s="12">
        <v>43567</v>
      </c>
      <c r="R59" s="12">
        <v>43555</v>
      </c>
      <c r="S59" s="5"/>
    </row>
    <row r="60" spans="1:19" ht="30" x14ac:dyDescent="0.25">
      <c r="A60" s="5">
        <v>2019</v>
      </c>
      <c r="B60" s="6">
        <v>43466</v>
      </c>
      <c r="C60" s="6">
        <v>43555</v>
      </c>
      <c r="D60" s="5">
        <v>3000</v>
      </c>
      <c r="E60" s="5" t="s">
        <v>167</v>
      </c>
      <c r="F60" s="5" t="s">
        <v>168</v>
      </c>
      <c r="G60" s="7" t="s">
        <v>169</v>
      </c>
      <c r="H60" s="8">
        <f>25201151+65438736</f>
        <v>90639887</v>
      </c>
      <c r="I60" s="9">
        <f>25201151+46968811.96+17650766</f>
        <v>89820728.960000008</v>
      </c>
      <c r="J60" s="9">
        <f>12680133+45827975.96+17650766</f>
        <v>76158874.960000008</v>
      </c>
      <c r="K60" s="9">
        <v>12521018</v>
      </c>
      <c r="L60" s="9">
        <v>12521018</v>
      </c>
      <c r="M60" s="9">
        <v>12521018</v>
      </c>
      <c r="N60" s="15" t="s">
        <v>170</v>
      </c>
      <c r="O60" s="11" t="s">
        <v>55</v>
      </c>
      <c r="P60" s="5" t="s">
        <v>56</v>
      </c>
      <c r="Q60" s="12">
        <v>43567</v>
      </c>
      <c r="R60" s="12">
        <v>43555</v>
      </c>
      <c r="S60" s="5"/>
    </row>
    <row r="61" spans="1:19" ht="30" x14ac:dyDescent="0.25">
      <c r="A61" s="5">
        <v>2019</v>
      </c>
      <c r="B61" s="6">
        <v>43466</v>
      </c>
      <c r="C61" s="6">
        <v>43555</v>
      </c>
      <c r="D61" s="5">
        <v>3000</v>
      </c>
      <c r="E61" s="5" t="s">
        <v>167</v>
      </c>
      <c r="F61" s="5" t="s">
        <v>171</v>
      </c>
      <c r="G61" s="7" t="s">
        <v>172</v>
      </c>
      <c r="H61" s="8">
        <v>1190002</v>
      </c>
      <c r="I61" s="9">
        <v>1190002</v>
      </c>
      <c r="J61" s="9">
        <v>287561.90000000002</v>
      </c>
      <c r="K61" s="9"/>
      <c r="L61" s="9"/>
      <c r="M61" s="9"/>
      <c r="N61" s="15"/>
      <c r="O61" s="11" t="s">
        <v>55</v>
      </c>
      <c r="P61" s="5" t="s">
        <v>56</v>
      </c>
      <c r="Q61" s="12">
        <v>43567</v>
      </c>
      <c r="R61" s="12">
        <v>43555</v>
      </c>
      <c r="S61" s="5"/>
    </row>
    <row r="62" spans="1:19" ht="30" x14ac:dyDescent="0.25">
      <c r="A62" s="5">
        <v>2019</v>
      </c>
      <c r="B62" s="6">
        <v>43466</v>
      </c>
      <c r="C62" s="6">
        <v>43555</v>
      </c>
      <c r="D62" s="5">
        <v>3000</v>
      </c>
      <c r="E62" s="5" t="s">
        <v>167</v>
      </c>
      <c r="F62" s="5" t="s">
        <v>173</v>
      </c>
      <c r="G62" s="7" t="s">
        <v>174</v>
      </c>
      <c r="H62" s="8">
        <v>3159905</v>
      </c>
      <c r="I62" s="9">
        <v>3159905</v>
      </c>
      <c r="J62" s="9">
        <v>2797548</v>
      </c>
      <c r="K62" s="9">
        <v>302452</v>
      </c>
      <c r="L62" s="9">
        <v>302452</v>
      </c>
      <c r="M62" s="9">
        <v>302452</v>
      </c>
      <c r="N62" s="15"/>
      <c r="O62" s="11" t="s">
        <v>55</v>
      </c>
      <c r="P62" s="5" t="s">
        <v>56</v>
      </c>
      <c r="Q62" s="12">
        <v>43567</v>
      </c>
      <c r="R62" s="12">
        <v>43555</v>
      </c>
      <c r="S62" s="5"/>
    </row>
    <row r="63" spans="1:19" ht="30" x14ac:dyDescent="0.25">
      <c r="A63" s="5">
        <v>2019</v>
      </c>
      <c r="B63" s="6">
        <v>43466</v>
      </c>
      <c r="C63" s="6">
        <v>43555</v>
      </c>
      <c r="D63" s="5">
        <v>3000</v>
      </c>
      <c r="E63" s="5" t="s">
        <v>167</v>
      </c>
      <c r="F63" s="5" t="s">
        <v>175</v>
      </c>
      <c r="G63" s="7" t="s">
        <v>176</v>
      </c>
      <c r="H63" s="8">
        <v>416308</v>
      </c>
      <c r="I63" s="9">
        <v>416308</v>
      </c>
      <c r="J63" s="9">
        <v>86976.22</v>
      </c>
      <c r="K63" s="9">
        <v>7543.66</v>
      </c>
      <c r="L63" s="9">
        <v>7543.66</v>
      </c>
      <c r="M63" s="9">
        <v>7543.66</v>
      </c>
      <c r="N63" s="15"/>
      <c r="O63" s="11" t="s">
        <v>55</v>
      </c>
      <c r="P63" s="5" t="s">
        <v>56</v>
      </c>
      <c r="Q63" s="12">
        <v>43567</v>
      </c>
      <c r="R63" s="12">
        <v>43555</v>
      </c>
      <c r="S63" s="5"/>
    </row>
    <row r="64" spans="1:19" ht="30" x14ac:dyDescent="0.25">
      <c r="A64" s="5">
        <v>2019</v>
      </c>
      <c r="B64" s="6">
        <v>43466</v>
      </c>
      <c r="C64" s="6">
        <v>43555</v>
      </c>
      <c r="D64" s="5">
        <v>3000</v>
      </c>
      <c r="E64" s="5" t="s">
        <v>167</v>
      </c>
      <c r="F64" s="5" t="s">
        <v>177</v>
      </c>
      <c r="G64" s="7" t="s">
        <v>178</v>
      </c>
      <c r="H64" s="8">
        <v>715000</v>
      </c>
      <c r="I64" s="9">
        <v>715000</v>
      </c>
      <c r="J64" s="9">
        <v>0</v>
      </c>
      <c r="K64" s="9">
        <v>99951.52</v>
      </c>
      <c r="L64" s="9">
        <v>99951.52</v>
      </c>
      <c r="M64" s="9">
        <v>99951.52</v>
      </c>
      <c r="N64" s="15"/>
      <c r="O64" s="11" t="s">
        <v>55</v>
      </c>
      <c r="P64" s="5" t="s">
        <v>56</v>
      </c>
      <c r="Q64" s="12">
        <v>43567</v>
      </c>
      <c r="R64" s="12">
        <v>43555</v>
      </c>
      <c r="S64" s="5"/>
    </row>
    <row r="65" spans="1:19" ht="30" x14ac:dyDescent="0.25">
      <c r="A65" s="5">
        <v>2019</v>
      </c>
      <c r="B65" s="6">
        <v>43466</v>
      </c>
      <c r="C65" s="6">
        <v>43555</v>
      </c>
      <c r="D65" s="5">
        <v>3000</v>
      </c>
      <c r="E65" s="5" t="s">
        <v>167</v>
      </c>
      <c r="F65" s="5" t="s">
        <v>179</v>
      </c>
      <c r="G65" s="7" t="s">
        <v>180</v>
      </c>
      <c r="H65" s="8">
        <v>1286489</v>
      </c>
      <c r="I65" s="9">
        <v>1467456</v>
      </c>
      <c r="J65" s="9">
        <v>1467456</v>
      </c>
      <c r="K65" s="9">
        <v>0</v>
      </c>
      <c r="L65" s="9">
        <v>0</v>
      </c>
      <c r="M65" s="9">
        <v>0</v>
      </c>
      <c r="N65" s="15"/>
      <c r="O65" s="11" t="s">
        <v>55</v>
      </c>
      <c r="P65" s="5" t="s">
        <v>56</v>
      </c>
      <c r="Q65" s="12">
        <v>43567</v>
      </c>
      <c r="R65" s="12">
        <v>43555</v>
      </c>
      <c r="S65" s="5"/>
    </row>
    <row r="66" spans="1:19" ht="30" x14ac:dyDescent="0.25">
      <c r="A66" s="5">
        <v>2019</v>
      </c>
      <c r="B66" s="6">
        <v>43466</v>
      </c>
      <c r="C66" s="6">
        <v>43555</v>
      </c>
      <c r="D66" s="5">
        <v>3000</v>
      </c>
      <c r="E66" s="5" t="s">
        <v>167</v>
      </c>
      <c r="F66" s="5" t="s">
        <v>181</v>
      </c>
      <c r="G66" s="7" t="s">
        <v>182</v>
      </c>
      <c r="H66" s="8">
        <v>87813</v>
      </c>
      <c r="I66" s="9">
        <v>87813</v>
      </c>
      <c r="J66" s="9">
        <v>0</v>
      </c>
      <c r="K66" s="9">
        <v>14453.32</v>
      </c>
      <c r="L66" s="9">
        <v>14453.32</v>
      </c>
      <c r="M66" s="9">
        <v>14453.32</v>
      </c>
      <c r="N66" s="16"/>
      <c r="O66" s="11" t="s">
        <v>55</v>
      </c>
      <c r="P66" s="5" t="s">
        <v>56</v>
      </c>
      <c r="Q66" s="12">
        <v>43567</v>
      </c>
      <c r="R66" s="12">
        <v>43555</v>
      </c>
      <c r="S66" s="5"/>
    </row>
    <row r="67" spans="1:19" ht="30" x14ac:dyDescent="0.25">
      <c r="A67" s="5">
        <v>2019</v>
      </c>
      <c r="B67" s="6">
        <v>43466</v>
      </c>
      <c r="C67" s="6">
        <v>43555</v>
      </c>
      <c r="D67" s="5">
        <v>3000</v>
      </c>
      <c r="E67" s="5" t="s">
        <v>167</v>
      </c>
      <c r="F67" s="5">
        <v>3181</v>
      </c>
      <c r="G67" s="7" t="s">
        <v>183</v>
      </c>
      <c r="H67" s="8">
        <v>0</v>
      </c>
      <c r="I67" s="9">
        <v>500</v>
      </c>
      <c r="J67" s="9">
        <v>0</v>
      </c>
      <c r="K67" s="9">
        <v>0</v>
      </c>
      <c r="L67" s="9">
        <v>0</v>
      </c>
      <c r="M67" s="9">
        <v>0</v>
      </c>
      <c r="N67" s="16"/>
      <c r="O67" s="11" t="s">
        <v>55</v>
      </c>
      <c r="P67" s="5" t="s">
        <v>56</v>
      </c>
      <c r="Q67" s="12">
        <v>43567</v>
      </c>
      <c r="R67" s="12">
        <v>43555</v>
      </c>
      <c r="S67" s="5"/>
    </row>
    <row r="68" spans="1:19" ht="30" x14ac:dyDescent="0.25">
      <c r="A68" s="5">
        <v>2019</v>
      </c>
      <c r="B68" s="6">
        <v>43466</v>
      </c>
      <c r="C68" s="6">
        <v>43555</v>
      </c>
      <c r="D68" s="5">
        <v>3000</v>
      </c>
      <c r="E68" s="5" t="s">
        <v>167</v>
      </c>
      <c r="F68" s="5" t="s">
        <v>184</v>
      </c>
      <c r="G68" s="7" t="s">
        <v>185</v>
      </c>
      <c r="H68" s="8">
        <v>870000</v>
      </c>
      <c r="I68" s="9">
        <v>870000</v>
      </c>
      <c r="J68" s="9">
        <v>0</v>
      </c>
      <c r="K68" s="9">
        <v>0</v>
      </c>
      <c r="L68" s="9">
        <v>0</v>
      </c>
      <c r="M68" s="9">
        <v>0</v>
      </c>
      <c r="N68" s="16"/>
      <c r="O68" s="11" t="s">
        <v>55</v>
      </c>
      <c r="P68" s="5" t="s">
        <v>56</v>
      </c>
      <c r="Q68" s="12">
        <v>43567</v>
      </c>
      <c r="R68" s="12">
        <v>43555</v>
      </c>
      <c r="S68" s="5"/>
    </row>
    <row r="69" spans="1:19" ht="30" x14ac:dyDescent="0.25">
      <c r="A69" s="5">
        <v>2019</v>
      </c>
      <c r="B69" s="6">
        <v>43466</v>
      </c>
      <c r="C69" s="6">
        <v>43555</v>
      </c>
      <c r="D69" s="5">
        <v>3000</v>
      </c>
      <c r="E69" s="5" t="s">
        <v>186</v>
      </c>
      <c r="F69" s="5" t="s">
        <v>187</v>
      </c>
      <c r="G69" s="7" t="s">
        <v>188</v>
      </c>
      <c r="H69" s="8">
        <v>112797064</v>
      </c>
      <c r="I69" s="9">
        <v>112797064</v>
      </c>
      <c r="J69" s="9">
        <v>0</v>
      </c>
      <c r="K69" s="9">
        <v>0</v>
      </c>
      <c r="L69" s="9">
        <v>0</v>
      </c>
      <c r="M69" s="9">
        <v>0</v>
      </c>
      <c r="N69" s="16"/>
      <c r="O69" s="11" t="s">
        <v>55</v>
      </c>
      <c r="P69" s="5" t="s">
        <v>56</v>
      </c>
      <c r="Q69" s="12">
        <v>43567</v>
      </c>
      <c r="R69" s="12">
        <v>43555</v>
      </c>
      <c r="S69" s="5"/>
    </row>
    <row r="70" spans="1:19" ht="30" x14ac:dyDescent="0.25">
      <c r="A70" s="5">
        <v>2019</v>
      </c>
      <c r="B70" s="6">
        <v>43466</v>
      </c>
      <c r="C70" s="6">
        <v>43555</v>
      </c>
      <c r="D70" s="5">
        <v>3000</v>
      </c>
      <c r="E70" s="5" t="s">
        <v>186</v>
      </c>
      <c r="F70" s="5" t="s">
        <v>189</v>
      </c>
      <c r="G70" s="7" t="s">
        <v>190</v>
      </c>
      <c r="H70" s="8">
        <v>2341262</v>
      </c>
      <c r="I70" s="17">
        <v>2341262</v>
      </c>
      <c r="J70" s="17">
        <v>0</v>
      </c>
      <c r="K70" s="17">
        <v>0</v>
      </c>
      <c r="L70" s="17">
        <v>0</v>
      </c>
      <c r="M70" s="17">
        <v>0</v>
      </c>
      <c r="N70" s="16"/>
      <c r="O70" s="11" t="s">
        <v>55</v>
      </c>
      <c r="P70" s="5" t="s">
        <v>56</v>
      </c>
      <c r="Q70" s="12">
        <v>43567</v>
      </c>
      <c r="R70" s="12">
        <v>43555</v>
      </c>
      <c r="S70" s="18"/>
    </row>
    <row r="71" spans="1:19" ht="30" x14ac:dyDescent="0.25">
      <c r="A71" s="5">
        <v>2019</v>
      </c>
      <c r="B71" s="6">
        <v>43466</v>
      </c>
      <c r="C71" s="6">
        <v>43555</v>
      </c>
      <c r="D71" s="5">
        <v>3000</v>
      </c>
      <c r="E71" s="5" t="s">
        <v>186</v>
      </c>
      <c r="F71" s="5" t="s">
        <v>191</v>
      </c>
      <c r="G71" s="7" t="s">
        <v>192</v>
      </c>
      <c r="H71" s="8">
        <v>259777</v>
      </c>
      <c r="I71" s="17">
        <v>259777</v>
      </c>
      <c r="J71" s="17">
        <v>38608.68</v>
      </c>
      <c r="K71" s="17">
        <v>26522.89</v>
      </c>
      <c r="L71" s="17">
        <v>26522.89</v>
      </c>
      <c r="M71" s="17">
        <v>26522.89</v>
      </c>
      <c r="N71" s="16"/>
      <c r="O71" s="11" t="s">
        <v>55</v>
      </c>
      <c r="P71" s="5" t="s">
        <v>56</v>
      </c>
      <c r="Q71" s="12">
        <v>43567</v>
      </c>
      <c r="R71" s="12">
        <v>43555</v>
      </c>
      <c r="S71" s="18"/>
    </row>
    <row r="72" spans="1:19" ht="30" x14ac:dyDescent="0.25">
      <c r="A72" s="5">
        <v>2019</v>
      </c>
      <c r="B72" s="6">
        <v>43466</v>
      </c>
      <c r="C72" s="6">
        <v>43555</v>
      </c>
      <c r="D72" s="5">
        <v>3000</v>
      </c>
      <c r="E72" s="5" t="s">
        <v>193</v>
      </c>
      <c r="F72" s="5" t="s">
        <v>194</v>
      </c>
      <c r="G72" s="7" t="s">
        <v>195</v>
      </c>
      <c r="H72" s="8">
        <v>253278</v>
      </c>
      <c r="I72" s="17">
        <v>600000</v>
      </c>
      <c r="J72" s="17">
        <v>0</v>
      </c>
      <c r="K72" s="17">
        <v>0</v>
      </c>
      <c r="L72" s="17">
        <v>0</v>
      </c>
      <c r="M72" s="17">
        <v>0</v>
      </c>
      <c r="N72" s="16"/>
      <c r="O72" s="11" t="s">
        <v>55</v>
      </c>
      <c r="P72" s="5" t="s">
        <v>56</v>
      </c>
      <c r="Q72" s="12">
        <v>43567</v>
      </c>
      <c r="R72" s="12">
        <v>43555</v>
      </c>
      <c r="S72" s="18"/>
    </row>
    <row r="73" spans="1:19" ht="30" x14ac:dyDescent="0.25">
      <c r="A73" s="5">
        <v>2019</v>
      </c>
      <c r="B73" s="6">
        <v>43466</v>
      </c>
      <c r="C73" s="6">
        <v>43555</v>
      </c>
      <c r="D73" s="5">
        <v>3000</v>
      </c>
      <c r="E73" s="5" t="s">
        <v>193</v>
      </c>
      <c r="F73" s="5" t="s">
        <v>196</v>
      </c>
      <c r="G73" s="7" t="s">
        <v>197</v>
      </c>
      <c r="H73" s="8">
        <v>562839</v>
      </c>
      <c r="I73" s="17">
        <v>562839</v>
      </c>
      <c r="J73" s="17">
        <v>0</v>
      </c>
      <c r="K73" s="17">
        <v>0</v>
      </c>
      <c r="L73" s="17">
        <v>0</v>
      </c>
      <c r="M73" s="17">
        <v>0</v>
      </c>
      <c r="N73" s="16"/>
      <c r="O73" s="11" t="s">
        <v>55</v>
      </c>
      <c r="P73" s="5" t="s">
        <v>56</v>
      </c>
      <c r="Q73" s="12">
        <v>43567</v>
      </c>
      <c r="R73" s="12">
        <v>43555</v>
      </c>
      <c r="S73" s="18"/>
    </row>
    <row r="74" spans="1:19" ht="30" x14ac:dyDescent="0.25">
      <c r="A74" s="5">
        <v>2019</v>
      </c>
      <c r="B74" s="6">
        <v>43466</v>
      </c>
      <c r="C74" s="6">
        <v>43555</v>
      </c>
      <c r="D74" s="5">
        <v>3000</v>
      </c>
      <c r="E74" s="5" t="s">
        <v>193</v>
      </c>
      <c r="F74" s="5" t="s">
        <v>198</v>
      </c>
      <c r="G74" s="7" t="s">
        <v>199</v>
      </c>
      <c r="H74" s="8">
        <v>2199092</v>
      </c>
      <c r="I74" s="17">
        <v>2199092</v>
      </c>
      <c r="J74" s="17">
        <v>0</v>
      </c>
      <c r="K74" s="17">
        <v>0</v>
      </c>
      <c r="L74" s="17">
        <v>0</v>
      </c>
      <c r="M74" s="17">
        <v>0</v>
      </c>
      <c r="N74" s="16"/>
      <c r="O74" s="11" t="s">
        <v>55</v>
      </c>
      <c r="P74" s="5" t="s">
        <v>56</v>
      </c>
      <c r="Q74" s="12">
        <v>43567</v>
      </c>
      <c r="R74" s="12">
        <v>43555</v>
      </c>
      <c r="S74" s="18"/>
    </row>
    <row r="75" spans="1:19" ht="30" x14ac:dyDescent="0.25">
      <c r="A75" s="5">
        <v>2019</v>
      </c>
      <c r="B75" s="6">
        <v>43466</v>
      </c>
      <c r="C75" s="6">
        <v>43555</v>
      </c>
      <c r="D75" s="5">
        <v>3000</v>
      </c>
      <c r="E75" s="5" t="s">
        <v>193</v>
      </c>
      <c r="F75" s="5" t="s">
        <v>200</v>
      </c>
      <c r="G75" s="7" t="s">
        <v>201</v>
      </c>
      <c r="H75" s="8">
        <v>107987</v>
      </c>
      <c r="I75" s="17">
        <v>107987</v>
      </c>
      <c r="J75" s="17">
        <v>24999.83</v>
      </c>
      <c r="K75" s="17">
        <v>0</v>
      </c>
      <c r="L75" s="17">
        <v>0</v>
      </c>
      <c r="M75" s="17">
        <v>0</v>
      </c>
      <c r="N75" s="16"/>
      <c r="O75" s="11" t="s">
        <v>55</v>
      </c>
      <c r="P75" s="5" t="s">
        <v>56</v>
      </c>
      <c r="Q75" s="12">
        <v>43567</v>
      </c>
      <c r="R75" s="12">
        <v>43555</v>
      </c>
      <c r="S75" s="18"/>
    </row>
    <row r="76" spans="1:19" ht="30" x14ac:dyDescent="0.25">
      <c r="A76" s="5">
        <v>2019</v>
      </c>
      <c r="B76" s="6">
        <v>43466</v>
      </c>
      <c r="C76" s="6">
        <v>43555</v>
      </c>
      <c r="D76" s="5">
        <v>3000</v>
      </c>
      <c r="E76" s="5" t="s">
        <v>193</v>
      </c>
      <c r="F76" s="5" t="s">
        <v>202</v>
      </c>
      <c r="G76" s="7" t="s">
        <v>203</v>
      </c>
      <c r="H76" s="8">
        <v>5029367</v>
      </c>
      <c r="I76" s="17">
        <v>8029367</v>
      </c>
      <c r="J76" s="17">
        <v>0</v>
      </c>
      <c r="K76" s="17">
        <v>8468</v>
      </c>
      <c r="L76" s="17">
        <v>8468</v>
      </c>
      <c r="M76" s="17">
        <v>8468</v>
      </c>
      <c r="N76" s="16"/>
      <c r="O76" s="11" t="s">
        <v>55</v>
      </c>
      <c r="P76" s="5" t="s">
        <v>56</v>
      </c>
      <c r="Q76" s="12">
        <v>43567</v>
      </c>
      <c r="R76" s="12">
        <v>43555</v>
      </c>
      <c r="S76" s="18"/>
    </row>
    <row r="77" spans="1:19" ht="30" x14ac:dyDescent="0.25">
      <c r="A77" s="5">
        <v>2019</v>
      </c>
      <c r="B77" s="6">
        <v>43466</v>
      </c>
      <c r="C77" s="6">
        <v>43555</v>
      </c>
      <c r="D77" s="5">
        <v>3000</v>
      </c>
      <c r="E77" s="5" t="s">
        <v>193</v>
      </c>
      <c r="F77" s="5">
        <v>3391</v>
      </c>
      <c r="G77" s="7" t="s">
        <v>204</v>
      </c>
      <c r="H77" s="8">
        <v>147987</v>
      </c>
      <c r="I77" s="17">
        <v>147987</v>
      </c>
      <c r="J77" s="17">
        <v>0</v>
      </c>
      <c r="K77" s="17">
        <v>0</v>
      </c>
      <c r="L77" s="17">
        <v>0</v>
      </c>
      <c r="M77" s="17">
        <v>0</v>
      </c>
      <c r="N77" s="16"/>
      <c r="O77" s="11" t="s">
        <v>55</v>
      </c>
      <c r="P77" s="5" t="s">
        <v>56</v>
      </c>
      <c r="Q77" s="12">
        <v>43567</v>
      </c>
      <c r="R77" s="12">
        <v>43555</v>
      </c>
      <c r="S77" s="18"/>
    </row>
    <row r="78" spans="1:19" ht="30" x14ac:dyDescent="0.25">
      <c r="A78" s="5">
        <v>2019</v>
      </c>
      <c r="B78" s="6">
        <v>43466</v>
      </c>
      <c r="C78" s="6">
        <v>43555</v>
      </c>
      <c r="D78" s="5">
        <v>3000</v>
      </c>
      <c r="E78" s="5" t="s">
        <v>205</v>
      </c>
      <c r="F78" s="5" t="s">
        <v>206</v>
      </c>
      <c r="G78" s="7" t="s">
        <v>207</v>
      </c>
      <c r="H78" s="8">
        <v>1226615</v>
      </c>
      <c r="I78" s="17">
        <v>1226615</v>
      </c>
      <c r="J78" s="17">
        <v>99333</v>
      </c>
      <c r="K78" s="17">
        <v>667</v>
      </c>
      <c r="L78" s="17">
        <v>667</v>
      </c>
      <c r="M78" s="17">
        <v>667</v>
      </c>
      <c r="N78" s="16"/>
      <c r="O78" s="11" t="s">
        <v>55</v>
      </c>
      <c r="P78" s="5" t="s">
        <v>56</v>
      </c>
      <c r="Q78" s="12">
        <v>43567</v>
      </c>
      <c r="R78" s="12">
        <v>43555</v>
      </c>
      <c r="S78" s="18"/>
    </row>
    <row r="79" spans="1:19" ht="30" x14ac:dyDescent="0.25">
      <c r="A79" s="5">
        <v>2019</v>
      </c>
      <c r="B79" s="6">
        <v>43466</v>
      </c>
      <c r="C79" s="6">
        <v>43555</v>
      </c>
      <c r="D79" s="5">
        <v>3000</v>
      </c>
      <c r="E79" s="5" t="s">
        <v>205</v>
      </c>
      <c r="F79" s="5" t="s">
        <v>208</v>
      </c>
      <c r="G79" s="7" t="s">
        <v>209</v>
      </c>
      <c r="H79" s="8">
        <v>2508727</v>
      </c>
      <c r="I79" s="17">
        <v>2508727</v>
      </c>
      <c r="J79" s="17">
        <v>2490926</v>
      </c>
      <c r="K79" s="17">
        <v>0</v>
      </c>
      <c r="L79" s="17">
        <v>0</v>
      </c>
      <c r="M79" s="17">
        <v>0</v>
      </c>
      <c r="N79" s="16"/>
      <c r="O79" s="11" t="s">
        <v>55</v>
      </c>
      <c r="P79" s="5" t="s">
        <v>56</v>
      </c>
      <c r="Q79" s="12">
        <v>43567</v>
      </c>
      <c r="R79" s="12">
        <v>43555</v>
      </c>
      <c r="S79" s="18"/>
    </row>
    <row r="80" spans="1:19" ht="30" x14ac:dyDescent="0.25">
      <c r="A80" s="5">
        <v>2019</v>
      </c>
      <c r="B80" s="6">
        <v>43466</v>
      </c>
      <c r="C80" s="6">
        <v>43555</v>
      </c>
      <c r="D80" s="5">
        <v>3000</v>
      </c>
      <c r="E80" s="5" t="s">
        <v>205</v>
      </c>
      <c r="F80" s="5" t="s">
        <v>210</v>
      </c>
      <c r="G80" s="7" t="s">
        <v>211</v>
      </c>
      <c r="H80" s="8">
        <f>15500000+141141165+13252671</f>
        <v>169893836</v>
      </c>
      <c r="I80" s="17">
        <f>15500000+111219857+13252671</f>
        <v>139972528</v>
      </c>
      <c r="J80" s="17">
        <f>15500000+751639+13252671</f>
        <v>29504310</v>
      </c>
      <c r="K80" s="17">
        <v>0</v>
      </c>
      <c r="L80" s="17">
        <v>0</v>
      </c>
      <c r="M80" s="17">
        <v>0</v>
      </c>
      <c r="N80" s="16"/>
      <c r="O80" s="11" t="s">
        <v>55</v>
      </c>
      <c r="P80" s="5" t="s">
        <v>56</v>
      </c>
      <c r="Q80" s="12">
        <v>43567</v>
      </c>
      <c r="R80" s="12">
        <v>43555</v>
      </c>
      <c r="S80" s="18"/>
    </row>
    <row r="81" spans="1:19" ht="30" x14ac:dyDescent="0.25">
      <c r="A81" s="5">
        <v>2019</v>
      </c>
      <c r="B81" s="6">
        <v>43466</v>
      </c>
      <c r="C81" s="6">
        <v>43555</v>
      </c>
      <c r="D81" s="5">
        <v>3000</v>
      </c>
      <c r="E81" s="5" t="s">
        <v>212</v>
      </c>
      <c r="F81" s="5" t="s">
        <v>213</v>
      </c>
      <c r="G81" s="7" t="s">
        <v>214</v>
      </c>
      <c r="H81" s="8">
        <v>636910</v>
      </c>
      <c r="I81" s="17">
        <v>786910</v>
      </c>
      <c r="J81" s="17">
        <v>17790.79</v>
      </c>
      <c r="K81" s="17">
        <v>127366.26</v>
      </c>
      <c r="L81" s="17">
        <v>127366.26</v>
      </c>
      <c r="M81" s="17">
        <v>127366.26</v>
      </c>
      <c r="N81" s="16"/>
      <c r="O81" s="11" t="s">
        <v>55</v>
      </c>
      <c r="P81" s="5" t="s">
        <v>56</v>
      </c>
      <c r="Q81" s="12">
        <v>43567</v>
      </c>
      <c r="R81" s="12">
        <v>43555</v>
      </c>
      <c r="S81" s="18"/>
    </row>
    <row r="82" spans="1:19" ht="30" x14ac:dyDescent="0.25">
      <c r="A82" s="5">
        <v>2019</v>
      </c>
      <c r="B82" s="6">
        <v>43466</v>
      </c>
      <c r="C82" s="6">
        <v>43555</v>
      </c>
      <c r="D82" s="5">
        <v>3000</v>
      </c>
      <c r="E82" s="5" t="s">
        <v>212</v>
      </c>
      <c r="F82" s="5">
        <v>3541</v>
      </c>
      <c r="G82" s="7" t="s">
        <v>215</v>
      </c>
      <c r="H82" s="8">
        <v>0</v>
      </c>
      <c r="I82" s="17">
        <v>5000</v>
      </c>
      <c r="J82" s="17">
        <v>0</v>
      </c>
      <c r="K82" s="17">
        <v>0</v>
      </c>
      <c r="L82" s="17">
        <v>0</v>
      </c>
      <c r="M82" s="17">
        <v>0</v>
      </c>
      <c r="N82" s="16"/>
      <c r="O82" s="11" t="s">
        <v>55</v>
      </c>
      <c r="P82" s="5" t="s">
        <v>56</v>
      </c>
      <c r="Q82" s="12">
        <v>43567</v>
      </c>
      <c r="R82" s="12">
        <v>43555</v>
      </c>
      <c r="S82" s="18"/>
    </row>
    <row r="83" spans="1:19" ht="30" x14ac:dyDescent="0.25">
      <c r="A83" s="5">
        <v>2019</v>
      </c>
      <c r="B83" s="6">
        <v>43466</v>
      </c>
      <c r="C83" s="6">
        <v>43555</v>
      </c>
      <c r="D83" s="5">
        <v>3000</v>
      </c>
      <c r="E83" s="5" t="s">
        <v>212</v>
      </c>
      <c r="F83" s="5" t="s">
        <v>216</v>
      </c>
      <c r="G83" s="7" t="s">
        <v>217</v>
      </c>
      <c r="H83" s="8">
        <f>2604738+101903008</f>
        <v>104507746</v>
      </c>
      <c r="I83" s="17">
        <f>7125880+101903008</f>
        <v>109028888</v>
      </c>
      <c r="J83" s="17">
        <v>1000000</v>
      </c>
      <c r="K83" s="17">
        <v>0</v>
      </c>
      <c r="L83" s="17">
        <v>0</v>
      </c>
      <c r="M83" s="17">
        <v>0</v>
      </c>
      <c r="N83" s="16"/>
      <c r="O83" s="11" t="s">
        <v>55</v>
      </c>
      <c r="P83" s="5" t="s">
        <v>56</v>
      </c>
      <c r="Q83" s="12">
        <v>43567</v>
      </c>
      <c r="R83" s="12">
        <v>43555</v>
      </c>
      <c r="S83" s="18"/>
    </row>
    <row r="84" spans="1:19" ht="30" x14ac:dyDescent="0.25">
      <c r="A84" s="5">
        <v>2019</v>
      </c>
      <c r="B84" s="6">
        <v>43466</v>
      </c>
      <c r="C84" s="6">
        <v>43555</v>
      </c>
      <c r="D84" s="5">
        <v>3000</v>
      </c>
      <c r="E84" s="5" t="s">
        <v>212</v>
      </c>
      <c r="F84" s="5" t="s">
        <v>218</v>
      </c>
      <c r="G84" s="7" t="s">
        <v>219</v>
      </c>
      <c r="H84" s="8">
        <v>255047</v>
      </c>
      <c r="I84" s="17">
        <v>255047</v>
      </c>
      <c r="J84" s="17">
        <v>76250</v>
      </c>
      <c r="K84" s="17">
        <v>0</v>
      </c>
      <c r="L84" s="17">
        <v>0</v>
      </c>
      <c r="M84" s="17">
        <v>0</v>
      </c>
      <c r="N84" s="16"/>
      <c r="O84" s="11" t="s">
        <v>55</v>
      </c>
      <c r="P84" s="5" t="s">
        <v>56</v>
      </c>
      <c r="Q84" s="12">
        <v>43567</v>
      </c>
      <c r="R84" s="12">
        <v>43555</v>
      </c>
      <c r="S84" s="18"/>
    </row>
    <row r="85" spans="1:19" ht="30" x14ac:dyDescent="0.25">
      <c r="A85" s="5">
        <v>2019</v>
      </c>
      <c r="B85" s="6">
        <v>43466</v>
      </c>
      <c r="C85" s="6">
        <v>43555</v>
      </c>
      <c r="D85" s="5">
        <v>3000</v>
      </c>
      <c r="E85" s="5" t="s">
        <v>212</v>
      </c>
      <c r="F85" s="5" t="s">
        <v>220</v>
      </c>
      <c r="G85" s="7" t="s">
        <v>221</v>
      </c>
      <c r="H85" s="8">
        <f>3890607+234993883</f>
        <v>238884490</v>
      </c>
      <c r="I85" s="17">
        <f>3222305.01+217343117</f>
        <v>220565422.00999999</v>
      </c>
      <c r="J85" s="17">
        <v>24421.91</v>
      </c>
      <c r="K85" s="17">
        <v>0</v>
      </c>
      <c r="L85" s="17">
        <v>0</v>
      </c>
      <c r="M85" s="17">
        <v>0</v>
      </c>
      <c r="N85" s="16"/>
      <c r="O85" s="11" t="s">
        <v>55</v>
      </c>
      <c r="P85" s="5" t="s">
        <v>56</v>
      </c>
      <c r="Q85" s="12">
        <v>43567</v>
      </c>
      <c r="R85" s="12">
        <v>43555</v>
      </c>
      <c r="S85" s="18"/>
    </row>
    <row r="86" spans="1:19" ht="30" x14ac:dyDescent="0.25">
      <c r="A86" s="5">
        <v>2019</v>
      </c>
      <c r="B86" s="6">
        <v>43466</v>
      </c>
      <c r="C86" s="6">
        <v>43555</v>
      </c>
      <c r="D86" s="5">
        <v>3000</v>
      </c>
      <c r="E86" s="5" t="s">
        <v>212</v>
      </c>
      <c r="F86" s="5" t="s">
        <v>222</v>
      </c>
      <c r="G86" s="7" t="s">
        <v>223</v>
      </c>
      <c r="H86" s="8">
        <v>3683751</v>
      </c>
      <c r="I86" s="17">
        <v>12393751</v>
      </c>
      <c r="J86" s="17">
        <v>2224710.48</v>
      </c>
      <c r="K86" s="17">
        <v>19932.23</v>
      </c>
      <c r="L86" s="17">
        <v>19932.23</v>
      </c>
      <c r="M86" s="17">
        <v>19932.23</v>
      </c>
      <c r="N86" s="16"/>
      <c r="O86" s="11" t="s">
        <v>55</v>
      </c>
      <c r="P86" s="5" t="s">
        <v>56</v>
      </c>
      <c r="Q86" s="12">
        <v>43567</v>
      </c>
      <c r="R86" s="12">
        <v>43555</v>
      </c>
      <c r="S86" s="18"/>
    </row>
    <row r="87" spans="1:19" ht="30" x14ac:dyDescent="0.25">
      <c r="A87" s="5">
        <v>2019</v>
      </c>
      <c r="B87" s="6">
        <v>43466</v>
      </c>
      <c r="C87" s="6">
        <v>43555</v>
      </c>
      <c r="D87" s="5">
        <v>3000</v>
      </c>
      <c r="E87" s="5" t="s">
        <v>212</v>
      </c>
      <c r="F87" s="5" t="s">
        <v>224</v>
      </c>
      <c r="G87" s="7" t="s">
        <v>225</v>
      </c>
      <c r="H87" s="8">
        <v>776439</v>
      </c>
      <c r="I87" s="17">
        <v>1000000</v>
      </c>
      <c r="J87" s="17">
        <v>0</v>
      </c>
      <c r="K87" s="17">
        <v>0</v>
      </c>
      <c r="L87" s="17">
        <v>0</v>
      </c>
      <c r="M87" s="17">
        <v>0</v>
      </c>
      <c r="N87" s="16"/>
      <c r="O87" s="11" t="s">
        <v>55</v>
      </c>
      <c r="P87" s="5" t="s">
        <v>56</v>
      </c>
      <c r="Q87" s="12">
        <v>43567</v>
      </c>
      <c r="R87" s="12">
        <v>43555</v>
      </c>
      <c r="S87" s="18"/>
    </row>
    <row r="88" spans="1:19" ht="30" x14ac:dyDescent="0.25">
      <c r="A88" s="5">
        <v>2019</v>
      </c>
      <c r="B88" s="6">
        <v>43466</v>
      </c>
      <c r="C88" s="6">
        <v>43555</v>
      </c>
      <c r="D88" s="5">
        <v>3000</v>
      </c>
      <c r="E88" s="5" t="s">
        <v>226</v>
      </c>
      <c r="F88" s="5" t="s">
        <v>227</v>
      </c>
      <c r="G88" s="7" t="s">
        <v>228</v>
      </c>
      <c r="H88" s="8">
        <v>0</v>
      </c>
      <c r="I88" s="17">
        <v>12301.04</v>
      </c>
      <c r="J88" s="17">
        <v>0</v>
      </c>
      <c r="K88" s="17">
        <v>0</v>
      </c>
      <c r="L88" s="17">
        <v>0</v>
      </c>
      <c r="M88" s="17">
        <v>0</v>
      </c>
      <c r="N88" s="16"/>
      <c r="O88" s="11" t="s">
        <v>55</v>
      </c>
      <c r="P88" s="5" t="s">
        <v>56</v>
      </c>
      <c r="Q88" s="12">
        <v>43567</v>
      </c>
      <c r="R88" s="12">
        <v>43555</v>
      </c>
      <c r="S88" s="18"/>
    </row>
    <row r="89" spans="1:19" ht="30" x14ac:dyDescent="0.25">
      <c r="A89" s="5">
        <v>2019</v>
      </c>
      <c r="B89" s="6">
        <v>43466</v>
      </c>
      <c r="C89" s="6">
        <v>43555</v>
      </c>
      <c r="D89" s="5">
        <v>3000</v>
      </c>
      <c r="E89" s="5" t="s">
        <v>226</v>
      </c>
      <c r="F89" s="5" t="s">
        <v>229</v>
      </c>
      <c r="G89" s="7" t="s">
        <v>230</v>
      </c>
      <c r="H89" s="8">
        <v>156791</v>
      </c>
      <c r="I89" s="17">
        <v>156791</v>
      </c>
      <c r="J89" s="17">
        <v>1200</v>
      </c>
      <c r="K89" s="17">
        <v>6000</v>
      </c>
      <c r="L89" s="17">
        <v>6000</v>
      </c>
      <c r="M89" s="17">
        <v>6000</v>
      </c>
      <c r="N89" s="16"/>
      <c r="O89" s="11" t="s">
        <v>55</v>
      </c>
      <c r="P89" s="5" t="s">
        <v>56</v>
      </c>
      <c r="Q89" s="12">
        <v>43567</v>
      </c>
      <c r="R89" s="12">
        <v>43555</v>
      </c>
      <c r="S89" s="18"/>
    </row>
    <row r="90" spans="1:19" ht="30" x14ac:dyDescent="0.25">
      <c r="A90" s="5">
        <v>2019</v>
      </c>
      <c r="B90" s="6">
        <v>43466</v>
      </c>
      <c r="C90" s="6">
        <v>43555</v>
      </c>
      <c r="D90" s="5">
        <v>3000</v>
      </c>
      <c r="E90" s="5" t="s">
        <v>226</v>
      </c>
      <c r="F90" s="5" t="s">
        <v>231</v>
      </c>
      <c r="G90" s="7" t="s">
        <v>232</v>
      </c>
      <c r="H90" s="8">
        <v>0</v>
      </c>
      <c r="I90" s="17">
        <v>806857</v>
      </c>
      <c r="J90" s="17">
        <v>0</v>
      </c>
      <c r="K90" s="17">
        <v>0</v>
      </c>
      <c r="L90" s="17">
        <v>0</v>
      </c>
      <c r="M90" s="17">
        <v>0</v>
      </c>
      <c r="N90" s="16"/>
      <c r="O90" s="11" t="s">
        <v>55</v>
      </c>
      <c r="P90" s="5" t="s">
        <v>56</v>
      </c>
      <c r="Q90" s="12">
        <v>43567</v>
      </c>
      <c r="R90" s="12">
        <v>43555</v>
      </c>
      <c r="S90" s="18"/>
    </row>
    <row r="91" spans="1:19" ht="30" x14ac:dyDescent="0.25">
      <c r="A91" s="5">
        <v>2019</v>
      </c>
      <c r="B91" s="6">
        <v>43466</v>
      </c>
      <c r="C91" s="6">
        <v>43555</v>
      </c>
      <c r="D91" s="5">
        <v>3000</v>
      </c>
      <c r="E91" s="5" t="s">
        <v>233</v>
      </c>
      <c r="F91" s="5" t="s">
        <v>234</v>
      </c>
      <c r="G91" s="7" t="s">
        <v>235</v>
      </c>
      <c r="H91" s="8">
        <v>804056</v>
      </c>
      <c r="I91" s="17">
        <v>804056</v>
      </c>
      <c r="J91" s="17">
        <v>0</v>
      </c>
      <c r="K91" s="17">
        <v>0</v>
      </c>
      <c r="L91" s="17">
        <v>0</v>
      </c>
      <c r="M91" s="17">
        <v>0</v>
      </c>
      <c r="N91" s="16"/>
      <c r="O91" s="11" t="s">
        <v>55</v>
      </c>
      <c r="P91" s="5" t="s">
        <v>56</v>
      </c>
      <c r="Q91" s="12">
        <v>43567</v>
      </c>
      <c r="R91" s="12">
        <v>43555</v>
      </c>
      <c r="S91" s="18"/>
    </row>
    <row r="92" spans="1:19" ht="30" x14ac:dyDescent="0.25">
      <c r="A92" s="5">
        <v>2019</v>
      </c>
      <c r="B92" s="6">
        <v>43466</v>
      </c>
      <c r="C92" s="6">
        <v>43555</v>
      </c>
      <c r="D92" s="5">
        <v>3000</v>
      </c>
      <c r="E92" s="5" t="s">
        <v>236</v>
      </c>
      <c r="F92" s="5" t="s">
        <v>237</v>
      </c>
      <c r="G92" s="7" t="s">
        <v>238</v>
      </c>
      <c r="H92" s="8">
        <v>3843893</v>
      </c>
      <c r="I92" s="17">
        <v>3843893</v>
      </c>
      <c r="J92" s="17">
        <v>1444807.4</v>
      </c>
      <c r="K92" s="17">
        <v>2316220.6</v>
      </c>
      <c r="L92" s="17">
        <v>2316220.6</v>
      </c>
      <c r="M92" s="17">
        <v>2316220.6</v>
      </c>
      <c r="N92" s="16"/>
      <c r="O92" s="11" t="s">
        <v>55</v>
      </c>
      <c r="P92" s="5" t="s">
        <v>56</v>
      </c>
      <c r="Q92" s="12">
        <v>43567</v>
      </c>
      <c r="R92" s="12">
        <v>43555</v>
      </c>
      <c r="S92" s="18"/>
    </row>
    <row r="93" spans="1:19" ht="30" x14ac:dyDescent="0.25">
      <c r="A93" s="5">
        <v>2019</v>
      </c>
      <c r="B93" s="6">
        <v>43466</v>
      </c>
      <c r="C93" s="6">
        <v>43555</v>
      </c>
      <c r="D93" s="5">
        <v>3000</v>
      </c>
      <c r="E93" s="5" t="s">
        <v>236</v>
      </c>
      <c r="F93" s="5" t="s">
        <v>239</v>
      </c>
      <c r="G93" s="7" t="s">
        <v>240</v>
      </c>
      <c r="H93" s="8">
        <v>1150000</v>
      </c>
      <c r="I93" s="17">
        <v>1150000</v>
      </c>
      <c r="J93" s="17">
        <v>0</v>
      </c>
      <c r="K93" s="17">
        <v>0</v>
      </c>
      <c r="L93" s="17">
        <v>0</v>
      </c>
      <c r="M93" s="17">
        <v>0</v>
      </c>
      <c r="N93" s="16"/>
      <c r="O93" s="11" t="s">
        <v>55</v>
      </c>
      <c r="P93" s="5" t="s">
        <v>56</v>
      </c>
      <c r="Q93" s="12">
        <v>43567</v>
      </c>
      <c r="R93" s="12">
        <v>43555</v>
      </c>
      <c r="S93" s="18"/>
    </row>
    <row r="94" spans="1:19" ht="30" x14ac:dyDescent="0.25">
      <c r="A94" s="5">
        <v>2019</v>
      </c>
      <c r="B94" s="6">
        <v>43466</v>
      </c>
      <c r="C94" s="6">
        <v>43555</v>
      </c>
      <c r="D94" s="5">
        <v>3000</v>
      </c>
      <c r="E94" s="5" t="s">
        <v>236</v>
      </c>
      <c r="F94" s="5" t="s">
        <v>241</v>
      </c>
      <c r="G94" s="7" t="s">
        <v>242</v>
      </c>
      <c r="H94" s="8">
        <v>19112201</v>
      </c>
      <c r="I94" s="17">
        <v>19112201</v>
      </c>
      <c r="J94" s="17">
        <v>14626515.58</v>
      </c>
      <c r="K94" s="17">
        <v>2472767.9300000002</v>
      </c>
      <c r="L94" s="17">
        <v>2472767.9300000002</v>
      </c>
      <c r="M94" s="17">
        <v>2472767.9300000002</v>
      </c>
      <c r="N94" s="16"/>
      <c r="O94" s="11" t="s">
        <v>55</v>
      </c>
      <c r="P94" s="5" t="s">
        <v>56</v>
      </c>
      <c r="Q94" s="12">
        <v>43567</v>
      </c>
      <c r="R94" s="12">
        <v>43555</v>
      </c>
      <c r="S94" s="18"/>
    </row>
    <row r="95" spans="1:19" ht="30" x14ac:dyDescent="0.25">
      <c r="A95" s="5">
        <v>2019</v>
      </c>
      <c r="B95" s="6">
        <v>43466</v>
      </c>
      <c r="C95" s="6">
        <v>43555</v>
      </c>
      <c r="D95" s="5">
        <v>3000</v>
      </c>
      <c r="E95" s="5" t="s">
        <v>236</v>
      </c>
      <c r="F95" s="5" t="s">
        <v>243</v>
      </c>
      <c r="G95" s="7" t="s">
        <v>244</v>
      </c>
      <c r="H95" s="8">
        <v>5615801</v>
      </c>
      <c r="I95" s="17">
        <v>5615801</v>
      </c>
      <c r="J95" s="17">
        <v>0</v>
      </c>
      <c r="K95" s="17">
        <v>0</v>
      </c>
      <c r="L95" s="17">
        <v>0</v>
      </c>
      <c r="M95" s="17">
        <v>0</v>
      </c>
      <c r="N95" s="16"/>
      <c r="O95" s="11" t="s">
        <v>55</v>
      </c>
      <c r="P95" s="5" t="s">
        <v>56</v>
      </c>
      <c r="Q95" s="12">
        <v>43567</v>
      </c>
      <c r="R95" s="12">
        <v>43555</v>
      </c>
      <c r="S95" s="18"/>
    </row>
    <row r="96" spans="1:19" ht="30" x14ac:dyDescent="0.25">
      <c r="A96" s="5">
        <v>2019</v>
      </c>
      <c r="B96" s="6">
        <v>43466</v>
      </c>
      <c r="C96" s="6">
        <v>43555</v>
      </c>
      <c r="D96" s="5">
        <v>3000</v>
      </c>
      <c r="E96" s="5" t="s">
        <v>236</v>
      </c>
      <c r="F96" s="5" t="s">
        <v>245</v>
      </c>
      <c r="G96" s="7" t="s">
        <v>246</v>
      </c>
      <c r="H96" s="8">
        <v>6578692</v>
      </c>
      <c r="I96" s="17">
        <v>36500000</v>
      </c>
      <c r="J96" s="17">
        <v>33275000</v>
      </c>
      <c r="K96" s="17">
        <v>3025000</v>
      </c>
      <c r="L96" s="17">
        <v>3025000</v>
      </c>
      <c r="M96" s="17">
        <v>3025000</v>
      </c>
      <c r="N96" s="16"/>
      <c r="O96" s="11" t="s">
        <v>55</v>
      </c>
      <c r="P96" s="5" t="s">
        <v>56</v>
      </c>
      <c r="Q96" s="12">
        <v>43567</v>
      </c>
      <c r="R96" s="12">
        <v>43555</v>
      </c>
      <c r="S96" s="18"/>
    </row>
    <row r="97" spans="1:19" ht="30" x14ac:dyDescent="0.25">
      <c r="A97" s="5">
        <v>2019</v>
      </c>
      <c r="B97" s="6">
        <v>43466</v>
      </c>
      <c r="C97" s="6">
        <v>43555</v>
      </c>
      <c r="D97" s="5">
        <v>4000</v>
      </c>
      <c r="E97" s="5" t="s">
        <v>247</v>
      </c>
      <c r="F97" s="5" t="s">
        <v>248</v>
      </c>
      <c r="G97" s="7" t="s">
        <v>249</v>
      </c>
      <c r="H97" s="8">
        <v>500000</v>
      </c>
      <c r="I97" s="17">
        <v>500000</v>
      </c>
      <c r="J97" s="17">
        <v>288000</v>
      </c>
      <c r="K97" s="17">
        <v>0</v>
      </c>
      <c r="L97" s="17">
        <v>0</v>
      </c>
      <c r="M97" s="17">
        <v>0</v>
      </c>
      <c r="N97" s="18" t="s">
        <v>250</v>
      </c>
      <c r="O97" s="11" t="s">
        <v>55</v>
      </c>
      <c r="P97" s="5" t="s">
        <v>56</v>
      </c>
      <c r="Q97" s="12">
        <v>43567</v>
      </c>
      <c r="R97" s="12">
        <v>43555</v>
      </c>
      <c r="S97" s="18"/>
    </row>
    <row r="98" spans="1:19" ht="30" x14ac:dyDescent="0.25">
      <c r="A98" s="5">
        <v>2019</v>
      </c>
      <c r="B98" s="6">
        <v>43466</v>
      </c>
      <c r="C98" s="6">
        <v>43555</v>
      </c>
      <c r="D98" s="5">
        <v>4000</v>
      </c>
      <c r="E98" s="5" t="s">
        <v>247</v>
      </c>
      <c r="F98" s="5">
        <v>4451</v>
      </c>
      <c r="G98" s="7" t="s">
        <v>251</v>
      </c>
      <c r="H98" s="8">
        <v>7768704</v>
      </c>
      <c r="I98" s="17">
        <v>7768704</v>
      </c>
      <c r="J98" s="17">
        <v>2938064.57</v>
      </c>
      <c r="K98" s="17">
        <v>4830639.43</v>
      </c>
      <c r="L98" s="17">
        <v>4830639.43</v>
      </c>
      <c r="M98" s="17">
        <v>4830639.43</v>
      </c>
      <c r="N98" s="18"/>
      <c r="O98" s="11" t="s">
        <v>55</v>
      </c>
      <c r="P98" s="5" t="s">
        <v>56</v>
      </c>
      <c r="Q98" s="12">
        <v>43567</v>
      </c>
      <c r="R98" s="12">
        <v>43555</v>
      </c>
      <c r="S98" s="18"/>
    </row>
    <row r="99" spans="1:19" ht="30" x14ac:dyDescent="0.25">
      <c r="A99" s="5">
        <v>2019</v>
      </c>
      <c r="B99" s="6">
        <v>43466</v>
      </c>
      <c r="C99" s="6">
        <v>43555</v>
      </c>
      <c r="D99" s="5">
        <v>4000</v>
      </c>
      <c r="E99" s="5" t="s">
        <v>252</v>
      </c>
      <c r="F99" s="5" t="s">
        <v>253</v>
      </c>
      <c r="G99" s="7" t="s">
        <v>254</v>
      </c>
      <c r="H99" s="8">
        <v>149500000</v>
      </c>
      <c r="I99" s="17">
        <v>149500000</v>
      </c>
      <c r="J99" s="17">
        <v>108021750.15000001</v>
      </c>
      <c r="K99" s="17">
        <v>41478249.850000001</v>
      </c>
      <c r="L99" s="17">
        <v>41478249.850000001</v>
      </c>
      <c r="M99" s="17">
        <v>41478249.850000001</v>
      </c>
      <c r="N99" s="18"/>
      <c r="O99" s="11" t="s">
        <v>55</v>
      </c>
      <c r="P99" s="5" t="s">
        <v>56</v>
      </c>
      <c r="Q99" s="12">
        <v>43567</v>
      </c>
      <c r="R99" s="12">
        <v>43555</v>
      </c>
      <c r="S99" s="18"/>
    </row>
    <row r="100" spans="1:19" ht="30" x14ac:dyDescent="0.25">
      <c r="A100" s="5">
        <v>2019</v>
      </c>
      <c r="B100" s="6">
        <v>43466</v>
      </c>
      <c r="C100" s="6">
        <v>43555</v>
      </c>
      <c r="D100" s="19">
        <v>5000</v>
      </c>
      <c r="E100" s="19">
        <v>5400</v>
      </c>
      <c r="F100" s="19">
        <v>5412</v>
      </c>
      <c r="G100" s="20" t="s">
        <v>255</v>
      </c>
      <c r="H100" s="21">
        <v>292231296</v>
      </c>
      <c r="I100" s="17">
        <v>292231296</v>
      </c>
      <c r="J100" s="17">
        <v>0</v>
      </c>
      <c r="K100" s="17">
        <v>0</v>
      </c>
      <c r="L100" s="17">
        <v>0</v>
      </c>
      <c r="M100" s="17">
        <v>0</v>
      </c>
      <c r="N100" s="18"/>
      <c r="O100" s="11" t="s">
        <v>55</v>
      </c>
      <c r="P100" s="5" t="s">
        <v>56</v>
      </c>
      <c r="Q100" s="12">
        <v>43567</v>
      </c>
      <c r="R100" s="12">
        <v>43555</v>
      </c>
      <c r="S100" s="18"/>
    </row>
    <row r="101" spans="1:19" ht="30" x14ac:dyDescent="0.25">
      <c r="A101" s="5">
        <v>2019</v>
      </c>
      <c r="B101" s="6">
        <v>43466</v>
      </c>
      <c r="C101" s="6">
        <v>43555</v>
      </c>
      <c r="D101" s="19">
        <v>5000</v>
      </c>
      <c r="E101" s="19">
        <v>5600</v>
      </c>
      <c r="F101" s="19">
        <v>5651</v>
      </c>
      <c r="G101" s="18" t="s">
        <v>256</v>
      </c>
      <c r="H101" s="21">
        <v>50000000</v>
      </c>
      <c r="I101" s="17">
        <v>50000000</v>
      </c>
      <c r="J101" s="17">
        <v>0</v>
      </c>
      <c r="K101" s="17">
        <v>0</v>
      </c>
      <c r="L101" s="17">
        <v>0</v>
      </c>
      <c r="M101" s="17">
        <v>0</v>
      </c>
      <c r="N101" s="18"/>
      <c r="O101" s="11" t="s">
        <v>55</v>
      </c>
      <c r="P101" s="5" t="s">
        <v>56</v>
      </c>
      <c r="Q101" s="12">
        <v>43567</v>
      </c>
      <c r="R101" s="12">
        <v>43555</v>
      </c>
      <c r="S101" s="18"/>
    </row>
    <row r="102" spans="1:19" ht="30" x14ac:dyDescent="0.25">
      <c r="A102" s="5">
        <v>2019</v>
      </c>
      <c r="B102" s="22">
        <v>43556</v>
      </c>
      <c r="C102" s="22">
        <v>43646</v>
      </c>
      <c r="D102" s="5">
        <v>1000</v>
      </c>
      <c r="E102" s="5">
        <v>1100</v>
      </c>
      <c r="F102" s="5">
        <v>1131</v>
      </c>
      <c r="G102" s="7" t="s">
        <v>53</v>
      </c>
      <c r="H102" s="8">
        <v>274168872</v>
      </c>
      <c r="I102" s="8">
        <v>274168872</v>
      </c>
      <c r="J102" s="9">
        <v>122465104.73</v>
      </c>
      <c r="K102" s="9">
        <v>123514015.84</v>
      </c>
      <c r="L102" s="9">
        <v>123514015.84</v>
      </c>
      <c r="M102" s="9">
        <v>123514015.84</v>
      </c>
      <c r="N102" s="10" t="s">
        <v>54</v>
      </c>
      <c r="O102" s="11" t="s">
        <v>257</v>
      </c>
      <c r="P102" s="5" t="s">
        <v>56</v>
      </c>
      <c r="Q102" s="12">
        <v>43658</v>
      </c>
      <c r="R102" s="12">
        <v>43646</v>
      </c>
      <c r="S102" s="18"/>
    </row>
    <row r="103" spans="1:19" ht="30" x14ac:dyDescent="0.25">
      <c r="A103" s="5">
        <v>2019</v>
      </c>
      <c r="B103" s="22">
        <v>43556</v>
      </c>
      <c r="C103" s="22">
        <v>43646</v>
      </c>
      <c r="D103" s="5">
        <v>1000</v>
      </c>
      <c r="E103" s="5" t="s">
        <v>57</v>
      </c>
      <c r="F103" s="5" t="s">
        <v>58</v>
      </c>
      <c r="G103" s="7" t="s">
        <v>59</v>
      </c>
      <c r="H103" s="8">
        <v>10284220</v>
      </c>
      <c r="I103" s="8">
        <v>10284220</v>
      </c>
      <c r="J103" s="9">
        <v>4583318.59</v>
      </c>
      <c r="K103" s="9">
        <v>4509460.54</v>
      </c>
      <c r="L103" s="9">
        <v>4509460.54</v>
      </c>
      <c r="M103" s="9">
        <v>4509460.54</v>
      </c>
      <c r="N103" s="13"/>
      <c r="O103" s="11" t="s">
        <v>257</v>
      </c>
      <c r="P103" s="5" t="s">
        <v>56</v>
      </c>
      <c r="Q103" s="12">
        <v>43658</v>
      </c>
      <c r="R103" s="12">
        <v>43646</v>
      </c>
      <c r="S103" s="18"/>
    </row>
    <row r="104" spans="1:19" ht="30" x14ac:dyDescent="0.25">
      <c r="A104" s="5">
        <v>2019</v>
      </c>
      <c r="B104" s="22">
        <v>43556</v>
      </c>
      <c r="C104" s="22">
        <v>43646</v>
      </c>
      <c r="D104" s="5">
        <v>1000</v>
      </c>
      <c r="E104" s="5">
        <v>1300</v>
      </c>
      <c r="F104" s="5" t="s">
        <v>60</v>
      </c>
      <c r="G104" s="7" t="s">
        <v>61</v>
      </c>
      <c r="H104" s="8">
        <v>22975293</v>
      </c>
      <c r="I104" s="8">
        <v>22975293</v>
      </c>
      <c r="J104" s="9">
        <v>6621853.1399999997</v>
      </c>
      <c r="K104" s="9">
        <v>8980204.6600000001</v>
      </c>
      <c r="L104" s="9">
        <v>8980204.6600000001</v>
      </c>
      <c r="M104" s="9">
        <v>8980204.6600000001</v>
      </c>
      <c r="N104" s="13"/>
      <c r="O104" s="11" t="s">
        <v>257</v>
      </c>
      <c r="P104" s="5" t="s">
        <v>56</v>
      </c>
      <c r="Q104" s="12">
        <v>43658</v>
      </c>
      <c r="R104" s="12">
        <v>43646</v>
      </c>
      <c r="S104" s="18"/>
    </row>
    <row r="105" spans="1:19" ht="30" x14ac:dyDescent="0.25">
      <c r="A105" s="5">
        <v>2019</v>
      </c>
      <c r="B105" s="22">
        <v>43556</v>
      </c>
      <c r="C105" s="22">
        <v>43646</v>
      </c>
      <c r="D105" s="5">
        <v>1000</v>
      </c>
      <c r="E105" s="5">
        <v>1300</v>
      </c>
      <c r="F105" s="5" t="s">
        <v>62</v>
      </c>
      <c r="G105" s="7" t="s">
        <v>63</v>
      </c>
      <c r="H105" s="8">
        <v>5225548</v>
      </c>
      <c r="I105" s="8">
        <v>5225548</v>
      </c>
      <c r="J105" s="9">
        <v>2392447.9</v>
      </c>
      <c r="K105" s="9">
        <v>2499395.33</v>
      </c>
      <c r="L105" s="9">
        <v>2499395.33</v>
      </c>
      <c r="M105" s="9">
        <v>2499395.33</v>
      </c>
      <c r="N105" s="13"/>
      <c r="O105" s="11" t="s">
        <v>257</v>
      </c>
      <c r="P105" s="5" t="s">
        <v>56</v>
      </c>
      <c r="Q105" s="12">
        <v>43658</v>
      </c>
      <c r="R105" s="12">
        <v>43646</v>
      </c>
      <c r="S105" s="18"/>
    </row>
    <row r="106" spans="1:19" ht="30" x14ac:dyDescent="0.25">
      <c r="A106" s="5">
        <v>2019</v>
      </c>
      <c r="B106" s="22">
        <v>43556</v>
      </c>
      <c r="C106" s="22">
        <v>43646</v>
      </c>
      <c r="D106" s="5">
        <v>1000</v>
      </c>
      <c r="E106" s="5">
        <v>1300</v>
      </c>
      <c r="F106" s="5" t="s">
        <v>64</v>
      </c>
      <c r="G106" s="7" t="s">
        <v>65</v>
      </c>
      <c r="H106" s="8">
        <v>43041534</v>
      </c>
      <c r="I106" s="8">
        <v>43041534</v>
      </c>
      <c r="J106" s="9">
        <v>28266487.199999999</v>
      </c>
      <c r="K106" s="9">
        <v>10775074.27</v>
      </c>
      <c r="L106" s="9">
        <v>10775074.27</v>
      </c>
      <c r="M106" s="9">
        <v>10775074.27</v>
      </c>
      <c r="N106" s="13"/>
      <c r="O106" s="11" t="s">
        <v>257</v>
      </c>
      <c r="P106" s="5" t="s">
        <v>56</v>
      </c>
      <c r="Q106" s="12">
        <v>43658</v>
      </c>
      <c r="R106" s="12">
        <v>43646</v>
      </c>
      <c r="S106" s="18"/>
    </row>
    <row r="107" spans="1:19" ht="30" x14ac:dyDescent="0.25">
      <c r="A107" s="5">
        <v>2019</v>
      </c>
      <c r="B107" s="22">
        <v>43556</v>
      </c>
      <c r="C107" s="22">
        <v>43646</v>
      </c>
      <c r="D107" s="5">
        <v>1000</v>
      </c>
      <c r="E107" s="5">
        <v>1300</v>
      </c>
      <c r="F107" s="5" t="s">
        <v>66</v>
      </c>
      <c r="G107" s="7" t="s">
        <v>67</v>
      </c>
      <c r="H107" s="8">
        <v>9139470</v>
      </c>
      <c r="I107" s="8">
        <v>9139470</v>
      </c>
      <c r="J107" s="9">
        <v>5193948.29</v>
      </c>
      <c r="K107" s="9">
        <v>3945521.71</v>
      </c>
      <c r="L107" s="9">
        <v>3945521.71</v>
      </c>
      <c r="M107" s="9">
        <v>3945521.71</v>
      </c>
      <c r="N107" s="13"/>
      <c r="O107" s="11" t="s">
        <v>257</v>
      </c>
      <c r="P107" s="5" t="s">
        <v>56</v>
      </c>
      <c r="Q107" s="12">
        <v>43658</v>
      </c>
      <c r="R107" s="12">
        <v>43646</v>
      </c>
      <c r="S107" s="18"/>
    </row>
    <row r="108" spans="1:19" ht="30" x14ac:dyDescent="0.25">
      <c r="A108" s="5">
        <v>2019</v>
      </c>
      <c r="B108" s="22">
        <v>43556</v>
      </c>
      <c r="C108" s="22">
        <v>43646</v>
      </c>
      <c r="D108" s="5">
        <v>1000</v>
      </c>
      <c r="E108" s="5">
        <v>1300</v>
      </c>
      <c r="F108" s="5" t="s">
        <v>68</v>
      </c>
      <c r="G108" s="7" t="s">
        <v>69</v>
      </c>
      <c r="H108" s="8">
        <v>16197870</v>
      </c>
      <c r="I108" s="8">
        <v>16197870</v>
      </c>
      <c r="J108" s="9">
        <v>9555314.0800000001</v>
      </c>
      <c r="K108" s="9">
        <v>6642555.9199999999</v>
      </c>
      <c r="L108" s="9">
        <v>6642555.9199999999</v>
      </c>
      <c r="M108" s="9">
        <v>6642555.9199999999</v>
      </c>
      <c r="N108" s="13"/>
      <c r="O108" s="11" t="s">
        <v>257</v>
      </c>
      <c r="P108" s="5" t="s">
        <v>56</v>
      </c>
      <c r="Q108" s="12">
        <v>43658</v>
      </c>
      <c r="R108" s="12">
        <v>43646</v>
      </c>
      <c r="S108" s="18"/>
    </row>
    <row r="109" spans="1:19" ht="30" x14ac:dyDescent="0.25">
      <c r="A109" s="5">
        <v>2019</v>
      </c>
      <c r="B109" s="22">
        <v>43556</v>
      </c>
      <c r="C109" s="22">
        <v>43646</v>
      </c>
      <c r="D109" s="5">
        <v>1000</v>
      </c>
      <c r="E109" s="5" t="s">
        <v>70</v>
      </c>
      <c r="F109" s="5" t="s">
        <v>71</v>
      </c>
      <c r="G109" s="7" t="s">
        <v>72</v>
      </c>
      <c r="H109" s="8">
        <v>77187567</v>
      </c>
      <c r="I109" s="8">
        <v>77187567</v>
      </c>
      <c r="J109" s="9">
        <v>39934251.700000003</v>
      </c>
      <c r="K109" s="9">
        <v>28242612.579999998</v>
      </c>
      <c r="L109" s="9">
        <v>28242612.579999998</v>
      </c>
      <c r="M109" s="9">
        <v>28242612.579999998</v>
      </c>
      <c r="N109" s="13"/>
      <c r="O109" s="11" t="s">
        <v>257</v>
      </c>
      <c r="P109" s="5" t="s">
        <v>56</v>
      </c>
      <c r="Q109" s="12">
        <v>43658</v>
      </c>
      <c r="R109" s="12">
        <v>43646</v>
      </c>
      <c r="S109" s="18"/>
    </row>
    <row r="110" spans="1:19" ht="30" x14ac:dyDescent="0.25">
      <c r="A110" s="5">
        <v>2019</v>
      </c>
      <c r="B110" s="22">
        <v>43556</v>
      </c>
      <c r="C110" s="22">
        <v>43646</v>
      </c>
      <c r="D110" s="5">
        <v>1000</v>
      </c>
      <c r="E110" s="5">
        <v>1400</v>
      </c>
      <c r="F110" s="5" t="s">
        <v>73</v>
      </c>
      <c r="G110" s="7" t="s">
        <v>74</v>
      </c>
      <c r="H110" s="8">
        <v>25150383</v>
      </c>
      <c r="I110" s="8">
        <v>25150383</v>
      </c>
      <c r="J110" s="9">
        <v>14368738.800000001</v>
      </c>
      <c r="K110" s="9">
        <v>8780407.9800000004</v>
      </c>
      <c r="L110" s="9">
        <v>8780407.9800000004</v>
      </c>
      <c r="M110" s="9">
        <v>8780407.9800000004</v>
      </c>
      <c r="N110" s="13"/>
      <c r="O110" s="11" t="s">
        <v>257</v>
      </c>
      <c r="P110" s="5" t="s">
        <v>56</v>
      </c>
      <c r="Q110" s="12">
        <v>43658</v>
      </c>
      <c r="R110" s="12">
        <v>43646</v>
      </c>
      <c r="S110" s="18"/>
    </row>
    <row r="111" spans="1:19" ht="30" x14ac:dyDescent="0.25">
      <c r="A111" s="5">
        <v>2019</v>
      </c>
      <c r="B111" s="23">
        <v>43556</v>
      </c>
      <c r="C111" s="23">
        <v>43646</v>
      </c>
      <c r="D111" s="5">
        <v>1000</v>
      </c>
      <c r="E111" s="5">
        <v>1400</v>
      </c>
      <c r="F111" s="5" t="s">
        <v>75</v>
      </c>
      <c r="G111" s="7" t="s">
        <v>76</v>
      </c>
      <c r="H111" s="8">
        <v>31726580</v>
      </c>
      <c r="I111" s="8">
        <v>31726580</v>
      </c>
      <c r="J111" s="9">
        <v>19050038.09</v>
      </c>
      <c r="K111" s="9">
        <v>10905753.460000001</v>
      </c>
      <c r="L111" s="9">
        <v>10905753.460000001</v>
      </c>
      <c r="M111" s="9">
        <v>10905753.460000001</v>
      </c>
      <c r="N111" s="13"/>
      <c r="O111" s="11" t="s">
        <v>257</v>
      </c>
      <c r="P111" s="5" t="s">
        <v>56</v>
      </c>
      <c r="Q111" s="12">
        <v>43658</v>
      </c>
      <c r="R111" s="12">
        <v>43646</v>
      </c>
      <c r="S111" s="18"/>
    </row>
    <row r="112" spans="1:19" ht="30" x14ac:dyDescent="0.25">
      <c r="A112" s="5">
        <v>2019</v>
      </c>
      <c r="B112" s="23">
        <v>43556</v>
      </c>
      <c r="C112" s="23">
        <v>43646</v>
      </c>
      <c r="D112" s="5">
        <v>1000</v>
      </c>
      <c r="E112" s="5">
        <v>1400</v>
      </c>
      <c r="F112" s="5" t="s">
        <v>77</v>
      </c>
      <c r="G112" s="7" t="s">
        <v>78</v>
      </c>
      <c r="H112" s="8">
        <v>3703336</v>
      </c>
      <c r="I112" s="8">
        <v>3703336</v>
      </c>
      <c r="J112" s="9">
        <v>2838211</v>
      </c>
      <c r="K112" s="9">
        <v>865125</v>
      </c>
      <c r="L112" s="9">
        <v>865125</v>
      </c>
      <c r="M112" s="9">
        <v>865125</v>
      </c>
      <c r="N112" s="13"/>
      <c r="O112" s="11" t="s">
        <v>257</v>
      </c>
      <c r="P112" s="5" t="s">
        <v>56</v>
      </c>
      <c r="Q112" s="12">
        <v>43658</v>
      </c>
      <c r="R112" s="12">
        <v>43646</v>
      </c>
      <c r="S112" s="18"/>
    </row>
    <row r="113" spans="1:19" ht="30" x14ac:dyDescent="0.25">
      <c r="A113" s="5">
        <v>2019</v>
      </c>
      <c r="B113" s="23">
        <v>43556</v>
      </c>
      <c r="C113" s="23">
        <v>43646</v>
      </c>
      <c r="D113" s="5">
        <v>1000</v>
      </c>
      <c r="E113" s="5" t="s">
        <v>79</v>
      </c>
      <c r="F113" s="5" t="s">
        <v>80</v>
      </c>
      <c r="G113" s="7" t="s">
        <v>81</v>
      </c>
      <c r="H113" s="8">
        <v>45127468</v>
      </c>
      <c r="I113" s="8">
        <v>45127468</v>
      </c>
      <c r="J113" s="9">
        <v>19971151.48</v>
      </c>
      <c r="K113" s="9">
        <v>20980724.879999999</v>
      </c>
      <c r="L113" s="9">
        <v>20980724.879999999</v>
      </c>
      <c r="M113" s="9">
        <v>20980724.879999999</v>
      </c>
      <c r="N113" s="13"/>
      <c r="O113" s="11" t="s">
        <v>257</v>
      </c>
      <c r="P113" s="5" t="s">
        <v>56</v>
      </c>
      <c r="Q113" s="12">
        <v>43658</v>
      </c>
      <c r="R113" s="12">
        <v>43646</v>
      </c>
      <c r="S113" s="18"/>
    </row>
    <row r="114" spans="1:19" ht="30" x14ac:dyDescent="0.25">
      <c r="A114" s="5">
        <v>2019</v>
      </c>
      <c r="B114" s="23">
        <v>43556</v>
      </c>
      <c r="C114" s="23">
        <v>43646</v>
      </c>
      <c r="D114" s="5">
        <v>1000</v>
      </c>
      <c r="E114" s="5">
        <v>1500</v>
      </c>
      <c r="F114" s="5" t="s">
        <v>82</v>
      </c>
      <c r="G114" s="7" t="s">
        <v>83</v>
      </c>
      <c r="H114" s="8">
        <v>5000000</v>
      </c>
      <c r="I114" s="8">
        <v>5000000</v>
      </c>
      <c r="J114" s="9">
        <v>3492070.2</v>
      </c>
      <c r="K114" s="9">
        <v>1507929.8</v>
      </c>
      <c r="L114" s="9">
        <v>1507929.8</v>
      </c>
      <c r="M114" s="9">
        <v>1507929.8</v>
      </c>
      <c r="N114" s="13"/>
      <c r="O114" s="11" t="s">
        <v>257</v>
      </c>
      <c r="P114" s="5" t="s">
        <v>56</v>
      </c>
      <c r="Q114" s="12">
        <v>43658</v>
      </c>
      <c r="R114" s="12">
        <v>43646</v>
      </c>
      <c r="S114" s="18"/>
    </row>
    <row r="115" spans="1:19" ht="30" x14ac:dyDescent="0.25">
      <c r="A115" s="5">
        <v>2019</v>
      </c>
      <c r="B115" s="23">
        <v>43556</v>
      </c>
      <c r="C115" s="23">
        <v>43646</v>
      </c>
      <c r="D115" s="5">
        <v>1000</v>
      </c>
      <c r="E115" s="5">
        <v>1500</v>
      </c>
      <c r="F115" s="5" t="s">
        <v>84</v>
      </c>
      <c r="G115" s="7" t="s">
        <v>85</v>
      </c>
      <c r="H115" s="8">
        <v>50000000</v>
      </c>
      <c r="I115" s="8">
        <v>50000000</v>
      </c>
      <c r="J115" s="9">
        <v>22579311.170000002</v>
      </c>
      <c r="K115" s="9">
        <v>27420688.829999998</v>
      </c>
      <c r="L115" s="9">
        <v>27420688.829999998</v>
      </c>
      <c r="M115" s="9">
        <v>27420688.829999998</v>
      </c>
      <c r="N115" s="13"/>
      <c r="O115" s="11" t="s">
        <v>257</v>
      </c>
      <c r="P115" s="5" t="s">
        <v>56</v>
      </c>
      <c r="Q115" s="12">
        <v>43658</v>
      </c>
      <c r="R115" s="12">
        <v>43646</v>
      </c>
      <c r="S115" s="18"/>
    </row>
    <row r="116" spans="1:19" ht="30" x14ac:dyDescent="0.25">
      <c r="A116" s="5">
        <v>2019</v>
      </c>
      <c r="B116" s="23">
        <v>43556</v>
      </c>
      <c r="C116" s="23">
        <v>43646</v>
      </c>
      <c r="D116" s="5">
        <v>1000</v>
      </c>
      <c r="E116" s="5">
        <v>1500</v>
      </c>
      <c r="F116" s="5" t="s">
        <v>86</v>
      </c>
      <c r="G116" s="7" t="s">
        <v>87</v>
      </c>
      <c r="H116" s="8">
        <f>19659885+41735622</f>
        <v>61395507</v>
      </c>
      <c r="I116" s="8">
        <f>19659885+41735622</f>
        <v>61395507</v>
      </c>
      <c r="J116" s="9">
        <f>8172111.53+41735622</f>
        <v>49907733.530000001</v>
      </c>
      <c r="K116" s="9">
        <v>9689305.2599999998</v>
      </c>
      <c r="L116" s="9">
        <v>9689305.2599999998</v>
      </c>
      <c r="M116" s="9">
        <v>9689305.2599999998</v>
      </c>
      <c r="N116" s="13"/>
      <c r="O116" s="11" t="s">
        <v>257</v>
      </c>
      <c r="P116" s="5" t="s">
        <v>56</v>
      </c>
      <c r="Q116" s="12">
        <v>43658</v>
      </c>
      <c r="R116" s="12">
        <v>43646</v>
      </c>
      <c r="S116" s="18"/>
    </row>
    <row r="117" spans="1:19" ht="30" x14ac:dyDescent="0.25">
      <c r="A117" s="5">
        <v>2019</v>
      </c>
      <c r="B117" s="23">
        <v>43556</v>
      </c>
      <c r="C117" s="23">
        <v>43646</v>
      </c>
      <c r="D117" s="5">
        <v>1000</v>
      </c>
      <c r="E117" s="5">
        <v>1500</v>
      </c>
      <c r="F117" s="5" t="s">
        <v>88</v>
      </c>
      <c r="G117" s="7" t="s">
        <v>89</v>
      </c>
      <c r="H117" s="8">
        <v>287152</v>
      </c>
      <c r="I117" s="8">
        <v>287152</v>
      </c>
      <c r="J117" s="9">
        <v>106074.11</v>
      </c>
      <c r="K117" s="9">
        <v>97668.18</v>
      </c>
      <c r="L117" s="9">
        <v>97668.18</v>
      </c>
      <c r="M117" s="9">
        <v>97668.18</v>
      </c>
      <c r="N117" s="13"/>
      <c r="O117" s="11" t="s">
        <v>257</v>
      </c>
      <c r="P117" s="5" t="s">
        <v>56</v>
      </c>
      <c r="Q117" s="12">
        <v>43658</v>
      </c>
      <c r="R117" s="12">
        <v>43646</v>
      </c>
      <c r="S117" s="18"/>
    </row>
    <row r="118" spans="1:19" ht="30" x14ac:dyDescent="0.25">
      <c r="A118" s="5">
        <v>2019</v>
      </c>
      <c r="B118" s="23">
        <v>43556</v>
      </c>
      <c r="C118" s="23">
        <v>43646</v>
      </c>
      <c r="D118" s="5">
        <v>1000</v>
      </c>
      <c r="E118" s="5">
        <v>1500</v>
      </c>
      <c r="F118" s="5" t="s">
        <v>90</v>
      </c>
      <c r="G118" s="7" t="s">
        <v>91</v>
      </c>
      <c r="H118" s="8">
        <v>12956151</v>
      </c>
      <c r="I118" s="8">
        <v>12956151</v>
      </c>
      <c r="J118" s="9">
        <v>5106063.82</v>
      </c>
      <c r="K118" s="9">
        <v>4799610.74</v>
      </c>
      <c r="L118" s="9">
        <v>4799610.74</v>
      </c>
      <c r="M118" s="9">
        <v>4799610.74</v>
      </c>
      <c r="N118" s="13"/>
      <c r="O118" s="11" t="s">
        <v>257</v>
      </c>
      <c r="P118" s="5" t="s">
        <v>56</v>
      </c>
      <c r="Q118" s="12">
        <v>43658</v>
      </c>
      <c r="R118" s="12">
        <v>43646</v>
      </c>
      <c r="S118" s="18"/>
    </row>
    <row r="119" spans="1:19" ht="30" x14ac:dyDescent="0.25">
      <c r="A119" s="5">
        <v>2019</v>
      </c>
      <c r="B119" s="23">
        <v>43556</v>
      </c>
      <c r="C119" s="23">
        <v>43646</v>
      </c>
      <c r="D119" s="5">
        <v>1000</v>
      </c>
      <c r="E119" s="5">
        <v>1500</v>
      </c>
      <c r="F119" s="5" t="s">
        <v>92</v>
      </c>
      <c r="G119" s="7" t="s">
        <v>93</v>
      </c>
      <c r="H119" s="8">
        <v>2751469</v>
      </c>
      <c r="I119" s="8">
        <v>2751469</v>
      </c>
      <c r="J119" s="9">
        <v>1637756.68</v>
      </c>
      <c r="K119" s="9">
        <v>1034317.77</v>
      </c>
      <c r="L119" s="9">
        <v>1034317.77</v>
      </c>
      <c r="M119" s="9">
        <v>1034317.77</v>
      </c>
      <c r="N119" s="13"/>
      <c r="O119" s="11" t="s">
        <v>257</v>
      </c>
      <c r="P119" s="5" t="s">
        <v>56</v>
      </c>
      <c r="Q119" s="12">
        <v>43658</v>
      </c>
      <c r="R119" s="12">
        <v>43646</v>
      </c>
      <c r="S119" s="18"/>
    </row>
    <row r="120" spans="1:19" ht="30" x14ac:dyDescent="0.25">
      <c r="A120" s="5">
        <v>2019</v>
      </c>
      <c r="B120" s="23">
        <v>43556</v>
      </c>
      <c r="C120" s="23">
        <v>43646</v>
      </c>
      <c r="D120" s="5">
        <v>1000</v>
      </c>
      <c r="E120" s="5">
        <v>1500</v>
      </c>
      <c r="F120" s="5" t="s">
        <v>94</v>
      </c>
      <c r="G120" s="7" t="s">
        <v>95</v>
      </c>
      <c r="H120" s="8">
        <v>1000000</v>
      </c>
      <c r="I120" s="8">
        <v>1000000</v>
      </c>
      <c r="J120" s="9">
        <v>0</v>
      </c>
      <c r="K120" s="9">
        <v>0</v>
      </c>
      <c r="L120" s="9">
        <v>0</v>
      </c>
      <c r="M120" s="9">
        <v>0</v>
      </c>
      <c r="N120" s="13"/>
      <c r="O120" s="11" t="s">
        <v>257</v>
      </c>
      <c r="P120" s="5" t="s">
        <v>56</v>
      </c>
      <c r="Q120" s="12">
        <v>43658</v>
      </c>
      <c r="R120" s="12">
        <v>43646</v>
      </c>
      <c r="S120" s="18"/>
    </row>
    <row r="121" spans="1:19" ht="30" x14ac:dyDescent="0.25">
      <c r="A121" s="5">
        <v>2019</v>
      </c>
      <c r="B121" s="23">
        <v>43556</v>
      </c>
      <c r="C121" s="23">
        <v>43646</v>
      </c>
      <c r="D121" s="5">
        <v>1000</v>
      </c>
      <c r="E121" s="5">
        <v>1500</v>
      </c>
      <c r="F121" s="5" t="s">
        <v>96</v>
      </c>
      <c r="G121" s="7" t="s">
        <v>97</v>
      </c>
      <c r="H121" s="8">
        <v>2601522</v>
      </c>
      <c r="I121" s="8">
        <v>2601522</v>
      </c>
      <c r="J121" s="9">
        <v>398758.44</v>
      </c>
      <c r="K121" s="9">
        <v>293082.56</v>
      </c>
      <c r="L121" s="9">
        <v>293082.56</v>
      </c>
      <c r="M121" s="9">
        <v>293082.56</v>
      </c>
      <c r="N121" s="13"/>
      <c r="O121" s="11" t="s">
        <v>257</v>
      </c>
      <c r="P121" s="5" t="s">
        <v>56</v>
      </c>
      <c r="Q121" s="12">
        <v>43658</v>
      </c>
      <c r="R121" s="12">
        <v>43646</v>
      </c>
      <c r="S121" s="18"/>
    </row>
    <row r="122" spans="1:19" ht="30" x14ac:dyDescent="0.25">
      <c r="A122" s="5">
        <v>2019</v>
      </c>
      <c r="B122" s="23">
        <v>43556</v>
      </c>
      <c r="C122" s="23">
        <v>43646</v>
      </c>
      <c r="D122" s="5">
        <v>1000</v>
      </c>
      <c r="E122" s="5">
        <v>1500</v>
      </c>
      <c r="F122" s="5" t="s">
        <v>98</v>
      </c>
      <c r="G122" s="7" t="s">
        <v>99</v>
      </c>
      <c r="H122" s="8">
        <v>22312852</v>
      </c>
      <c r="I122" s="8">
        <v>22312852</v>
      </c>
      <c r="J122" s="9">
        <v>10333472.890000001</v>
      </c>
      <c r="K122" s="9">
        <v>11072963.710000001</v>
      </c>
      <c r="L122" s="9">
        <v>11072963.710000001</v>
      </c>
      <c r="M122" s="9">
        <v>11072963.710000001</v>
      </c>
      <c r="N122" s="13"/>
      <c r="O122" s="11" t="s">
        <v>257</v>
      </c>
      <c r="P122" s="5" t="s">
        <v>56</v>
      </c>
      <c r="Q122" s="12">
        <v>43658</v>
      </c>
      <c r="R122" s="12">
        <v>43646</v>
      </c>
      <c r="S122" s="18"/>
    </row>
    <row r="123" spans="1:19" ht="30" x14ac:dyDescent="0.25">
      <c r="A123" s="5">
        <v>2019</v>
      </c>
      <c r="B123" s="23">
        <v>43556</v>
      </c>
      <c r="C123" s="23">
        <v>43646</v>
      </c>
      <c r="D123" s="5">
        <v>1000</v>
      </c>
      <c r="E123" s="5">
        <v>1500</v>
      </c>
      <c r="F123" s="5" t="s">
        <v>100</v>
      </c>
      <c r="G123" s="7" t="s">
        <v>101</v>
      </c>
      <c r="H123" s="8">
        <v>169500</v>
      </c>
      <c r="I123" s="8">
        <v>169500</v>
      </c>
      <c r="J123" s="9">
        <v>0</v>
      </c>
      <c r="K123" s="9">
        <v>0</v>
      </c>
      <c r="L123" s="9">
        <v>0</v>
      </c>
      <c r="M123" s="9">
        <v>0</v>
      </c>
      <c r="N123" s="13"/>
      <c r="O123" s="11" t="s">
        <v>257</v>
      </c>
      <c r="P123" s="5" t="s">
        <v>56</v>
      </c>
      <c r="Q123" s="12">
        <v>43658</v>
      </c>
      <c r="R123" s="12">
        <v>43646</v>
      </c>
      <c r="S123" s="18"/>
    </row>
    <row r="124" spans="1:19" ht="30" x14ac:dyDescent="0.25">
      <c r="A124" s="5">
        <v>2019</v>
      </c>
      <c r="B124" s="23">
        <v>43556</v>
      </c>
      <c r="C124" s="23">
        <v>43646</v>
      </c>
      <c r="D124" s="5">
        <v>1000</v>
      </c>
      <c r="E124" s="5">
        <v>1500</v>
      </c>
      <c r="F124" s="5" t="s">
        <v>102</v>
      </c>
      <c r="G124" s="7" t="s">
        <v>103</v>
      </c>
      <c r="H124" s="8">
        <v>70000</v>
      </c>
      <c r="I124" s="8">
        <v>70000</v>
      </c>
      <c r="J124" s="9">
        <v>0</v>
      </c>
      <c r="K124" s="9">
        <v>0</v>
      </c>
      <c r="L124" s="9">
        <v>0</v>
      </c>
      <c r="M124" s="9">
        <v>0</v>
      </c>
      <c r="N124" s="13"/>
      <c r="O124" s="11" t="s">
        <v>257</v>
      </c>
      <c r="P124" s="5" t="s">
        <v>56</v>
      </c>
      <c r="Q124" s="12">
        <v>43658</v>
      </c>
      <c r="R124" s="12">
        <v>43646</v>
      </c>
      <c r="S124" s="18"/>
    </row>
    <row r="125" spans="1:19" ht="30" x14ac:dyDescent="0.25">
      <c r="A125" s="5">
        <v>2019</v>
      </c>
      <c r="B125" s="23">
        <v>43556</v>
      </c>
      <c r="C125" s="23">
        <v>43646</v>
      </c>
      <c r="D125" s="5">
        <v>1000</v>
      </c>
      <c r="E125" s="5">
        <v>1600</v>
      </c>
      <c r="F125" s="5">
        <v>1611</v>
      </c>
      <c r="G125" s="7" t="s">
        <v>104</v>
      </c>
      <c r="H125" s="8">
        <v>1032347</v>
      </c>
      <c r="I125" s="8">
        <v>1032347</v>
      </c>
      <c r="J125" s="9">
        <v>0</v>
      </c>
      <c r="K125" s="9">
        <v>0</v>
      </c>
      <c r="L125" s="9">
        <v>0</v>
      </c>
      <c r="M125" s="9">
        <v>0</v>
      </c>
      <c r="N125" s="13"/>
      <c r="O125" s="11" t="s">
        <v>257</v>
      </c>
      <c r="P125" s="5" t="s">
        <v>56</v>
      </c>
      <c r="Q125" s="12">
        <v>43658</v>
      </c>
      <c r="R125" s="12">
        <v>43646</v>
      </c>
      <c r="S125" s="18"/>
    </row>
    <row r="126" spans="1:19" ht="30" x14ac:dyDescent="0.25">
      <c r="A126" s="5">
        <v>2019</v>
      </c>
      <c r="B126" s="23">
        <v>43556</v>
      </c>
      <c r="C126" s="23">
        <v>43646</v>
      </c>
      <c r="D126" s="5">
        <v>1000</v>
      </c>
      <c r="E126" s="5" t="s">
        <v>105</v>
      </c>
      <c r="F126" s="5" t="s">
        <v>106</v>
      </c>
      <c r="G126" s="7" t="s">
        <v>107</v>
      </c>
      <c r="H126" s="8">
        <v>64975895</v>
      </c>
      <c r="I126" s="8">
        <v>64975895</v>
      </c>
      <c r="J126" s="9">
        <v>26766155.579999998</v>
      </c>
      <c r="K126" s="9">
        <v>27044063.460000001</v>
      </c>
      <c r="L126" s="9">
        <v>27044063.460000001</v>
      </c>
      <c r="M126" s="9">
        <v>27044063.460000001</v>
      </c>
      <c r="N126" s="13"/>
      <c r="O126" s="11" t="s">
        <v>257</v>
      </c>
      <c r="P126" s="5" t="s">
        <v>56</v>
      </c>
      <c r="Q126" s="12">
        <v>43658</v>
      </c>
      <c r="R126" s="12">
        <v>43646</v>
      </c>
      <c r="S126" s="18"/>
    </row>
    <row r="127" spans="1:19" ht="30" x14ac:dyDescent="0.25">
      <c r="A127" s="5">
        <v>2019</v>
      </c>
      <c r="B127" s="23">
        <v>43556</v>
      </c>
      <c r="C127" s="23">
        <v>43646</v>
      </c>
      <c r="D127" s="5">
        <v>2000</v>
      </c>
      <c r="E127" s="5" t="s">
        <v>108</v>
      </c>
      <c r="F127" s="5" t="s">
        <v>109</v>
      </c>
      <c r="G127" s="7" t="s">
        <v>110</v>
      </c>
      <c r="H127" s="8">
        <v>414090</v>
      </c>
      <c r="I127" s="9">
        <v>424090</v>
      </c>
      <c r="J127" s="9">
        <v>64924.07</v>
      </c>
      <c r="K127" s="9">
        <v>58775.93</v>
      </c>
      <c r="L127" s="9">
        <v>58775.93</v>
      </c>
      <c r="M127" s="9">
        <v>58775.93</v>
      </c>
      <c r="N127" s="14" t="s">
        <v>111</v>
      </c>
      <c r="O127" s="11" t="s">
        <v>257</v>
      </c>
      <c r="P127" s="5" t="s">
        <v>56</v>
      </c>
      <c r="Q127" s="12">
        <v>43658</v>
      </c>
      <c r="R127" s="12">
        <v>43646</v>
      </c>
      <c r="S127" s="18"/>
    </row>
    <row r="128" spans="1:19" ht="30" x14ac:dyDescent="0.25">
      <c r="A128" s="5">
        <v>2019</v>
      </c>
      <c r="B128" s="23">
        <v>43556</v>
      </c>
      <c r="C128" s="23">
        <v>43646</v>
      </c>
      <c r="D128" s="5">
        <v>2000</v>
      </c>
      <c r="E128" s="5" t="s">
        <v>108</v>
      </c>
      <c r="F128" s="5" t="s">
        <v>112</v>
      </c>
      <c r="G128" s="7" t="s">
        <v>113</v>
      </c>
      <c r="H128" s="8">
        <v>42915</v>
      </c>
      <c r="I128" s="9">
        <v>42915</v>
      </c>
      <c r="J128" s="9">
        <v>0</v>
      </c>
      <c r="K128" s="9">
        <v>0</v>
      </c>
      <c r="L128" s="9">
        <v>0</v>
      </c>
      <c r="M128" s="9">
        <v>0</v>
      </c>
      <c r="N128" s="14"/>
      <c r="O128" s="11" t="s">
        <v>257</v>
      </c>
      <c r="P128" s="5" t="s">
        <v>56</v>
      </c>
      <c r="Q128" s="12">
        <v>43658</v>
      </c>
      <c r="R128" s="12">
        <v>43646</v>
      </c>
      <c r="S128" s="18"/>
    </row>
    <row r="129" spans="1:19" ht="30" x14ac:dyDescent="0.25">
      <c r="A129" s="5">
        <v>2019</v>
      </c>
      <c r="B129" s="23">
        <v>43556</v>
      </c>
      <c r="C129" s="23">
        <v>43646</v>
      </c>
      <c r="D129" s="5">
        <v>2000</v>
      </c>
      <c r="E129" s="5" t="s">
        <v>108</v>
      </c>
      <c r="F129" s="5" t="s">
        <v>114</v>
      </c>
      <c r="G129" s="7" t="s">
        <v>115</v>
      </c>
      <c r="H129" s="8">
        <v>150269</v>
      </c>
      <c r="I129" s="9">
        <v>1350269</v>
      </c>
      <c r="J129" s="9">
        <v>0</v>
      </c>
      <c r="K129" s="9">
        <v>0</v>
      </c>
      <c r="L129" s="9">
        <v>0</v>
      </c>
      <c r="M129" s="9">
        <v>0</v>
      </c>
      <c r="N129" s="14"/>
      <c r="O129" s="11" t="s">
        <v>257</v>
      </c>
      <c r="P129" s="5" t="s">
        <v>56</v>
      </c>
      <c r="Q129" s="12">
        <v>43658</v>
      </c>
      <c r="R129" s="12">
        <v>43646</v>
      </c>
      <c r="S129" s="18"/>
    </row>
    <row r="130" spans="1:19" ht="30" x14ac:dyDescent="0.25">
      <c r="A130" s="5">
        <v>2019</v>
      </c>
      <c r="B130" s="23">
        <v>43556</v>
      </c>
      <c r="C130" s="23">
        <v>43646</v>
      </c>
      <c r="D130" s="5">
        <v>2000</v>
      </c>
      <c r="E130" s="5" t="s">
        <v>108</v>
      </c>
      <c r="F130" s="5" t="s">
        <v>116</v>
      </c>
      <c r="G130" s="7" t="s">
        <v>117</v>
      </c>
      <c r="H130" s="8">
        <v>789706</v>
      </c>
      <c r="I130" s="9">
        <v>880053.43</v>
      </c>
      <c r="J130" s="9">
        <v>13490</v>
      </c>
      <c r="K130" s="9">
        <v>14510</v>
      </c>
      <c r="L130" s="9">
        <v>14510</v>
      </c>
      <c r="M130" s="9">
        <v>14510</v>
      </c>
      <c r="N130" s="14"/>
      <c r="O130" s="11" t="s">
        <v>257</v>
      </c>
      <c r="P130" s="5" t="s">
        <v>56</v>
      </c>
      <c r="Q130" s="12">
        <v>43658</v>
      </c>
      <c r="R130" s="12">
        <v>43646</v>
      </c>
      <c r="S130" s="18"/>
    </row>
    <row r="131" spans="1:19" ht="30" x14ac:dyDescent="0.25">
      <c r="A131" s="5">
        <v>2019</v>
      </c>
      <c r="B131" s="23">
        <v>43556</v>
      </c>
      <c r="C131" s="23">
        <v>43646</v>
      </c>
      <c r="D131" s="5">
        <v>2000</v>
      </c>
      <c r="E131" s="5" t="s">
        <v>118</v>
      </c>
      <c r="F131" s="5" t="s">
        <v>119</v>
      </c>
      <c r="G131" s="7" t="s">
        <v>120</v>
      </c>
      <c r="H131" s="8">
        <v>322989</v>
      </c>
      <c r="I131" s="9">
        <v>322989</v>
      </c>
      <c r="J131" s="9">
        <v>213800</v>
      </c>
      <c r="K131" s="9">
        <v>36200</v>
      </c>
      <c r="L131" s="9">
        <v>36200</v>
      </c>
      <c r="M131" s="9">
        <v>36200</v>
      </c>
      <c r="N131" s="14"/>
      <c r="O131" s="11" t="s">
        <v>257</v>
      </c>
      <c r="P131" s="5" t="s">
        <v>56</v>
      </c>
      <c r="Q131" s="12">
        <v>43658</v>
      </c>
      <c r="R131" s="12">
        <v>43646</v>
      </c>
      <c r="S131" s="18"/>
    </row>
    <row r="132" spans="1:19" ht="30" x14ac:dyDescent="0.25">
      <c r="A132" s="5">
        <v>2019</v>
      </c>
      <c r="B132" s="23">
        <v>43556</v>
      </c>
      <c r="C132" s="23">
        <v>43646</v>
      </c>
      <c r="D132" s="5">
        <v>2000</v>
      </c>
      <c r="E132" s="5" t="s">
        <v>121</v>
      </c>
      <c r="F132" s="5" t="s">
        <v>122</v>
      </c>
      <c r="G132" s="7" t="s">
        <v>123</v>
      </c>
      <c r="H132" s="8">
        <v>332837</v>
      </c>
      <c r="I132" s="9">
        <v>355164.2</v>
      </c>
      <c r="J132" s="9">
        <v>0</v>
      </c>
      <c r="K132" s="9">
        <v>0</v>
      </c>
      <c r="L132" s="9">
        <v>0</v>
      </c>
      <c r="M132" s="9">
        <v>0</v>
      </c>
      <c r="N132" s="14"/>
      <c r="O132" s="11" t="s">
        <v>257</v>
      </c>
      <c r="P132" s="5" t="s">
        <v>56</v>
      </c>
      <c r="Q132" s="12">
        <v>43658</v>
      </c>
      <c r="R132" s="12">
        <v>43646</v>
      </c>
      <c r="S132" s="18"/>
    </row>
    <row r="133" spans="1:19" ht="30" x14ac:dyDescent="0.25">
      <c r="A133" s="5">
        <v>2019</v>
      </c>
      <c r="B133" s="23">
        <v>43556</v>
      </c>
      <c r="C133" s="23">
        <v>43646</v>
      </c>
      <c r="D133" s="5">
        <v>2000</v>
      </c>
      <c r="E133" s="5" t="s">
        <v>121</v>
      </c>
      <c r="F133" s="5">
        <v>2421</v>
      </c>
      <c r="G133" s="7" t="s">
        <v>124</v>
      </c>
      <c r="H133" s="8">
        <v>243028</v>
      </c>
      <c r="I133" s="9">
        <v>220524.27</v>
      </c>
      <c r="J133" s="9">
        <v>0</v>
      </c>
      <c r="K133" s="9">
        <v>0</v>
      </c>
      <c r="L133" s="9">
        <v>0</v>
      </c>
      <c r="M133" s="9">
        <v>0</v>
      </c>
      <c r="N133" s="14"/>
      <c r="O133" s="11" t="s">
        <v>257</v>
      </c>
      <c r="P133" s="5" t="s">
        <v>56</v>
      </c>
      <c r="Q133" s="12">
        <v>43658</v>
      </c>
      <c r="R133" s="12">
        <v>43646</v>
      </c>
      <c r="S133" s="18"/>
    </row>
    <row r="134" spans="1:19" ht="30" x14ac:dyDescent="0.25">
      <c r="A134" s="5">
        <v>2019</v>
      </c>
      <c r="B134" s="23">
        <v>43556</v>
      </c>
      <c r="C134" s="23">
        <v>43646</v>
      </c>
      <c r="D134" s="5">
        <v>2000</v>
      </c>
      <c r="E134" s="5" t="s">
        <v>121</v>
      </c>
      <c r="F134" s="5">
        <v>2431</v>
      </c>
      <c r="G134" s="7" t="s">
        <v>125</v>
      </c>
      <c r="H134" s="8">
        <v>2970</v>
      </c>
      <c r="I134" s="9">
        <v>3692.82</v>
      </c>
      <c r="J134" s="9">
        <v>0</v>
      </c>
      <c r="K134" s="9">
        <v>0</v>
      </c>
      <c r="L134" s="9">
        <v>0</v>
      </c>
      <c r="M134" s="9">
        <v>0</v>
      </c>
      <c r="N134" s="14"/>
      <c r="O134" s="11" t="s">
        <v>257</v>
      </c>
      <c r="P134" s="5" t="s">
        <v>56</v>
      </c>
      <c r="Q134" s="12">
        <v>43658</v>
      </c>
      <c r="R134" s="12">
        <v>43646</v>
      </c>
      <c r="S134" s="18"/>
    </row>
    <row r="135" spans="1:19" ht="30" x14ac:dyDescent="0.25">
      <c r="A135" s="5">
        <v>2019</v>
      </c>
      <c r="B135" s="23">
        <v>43556</v>
      </c>
      <c r="C135" s="23">
        <v>43646</v>
      </c>
      <c r="D135" s="5">
        <v>2000</v>
      </c>
      <c r="E135" s="5" t="s">
        <v>121</v>
      </c>
      <c r="F135" s="5" t="s">
        <v>126</v>
      </c>
      <c r="G135" s="7" t="s">
        <v>127</v>
      </c>
      <c r="H135" s="8">
        <v>173212</v>
      </c>
      <c r="I135" s="9">
        <v>100406</v>
      </c>
      <c r="J135" s="9">
        <v>0</v>
      </c>
      <c r="K135" s="9">
        <v>0</v>
      </c>
      <c r="L135" s="9">
        <v>0</v>
      </c>
      <c r="M135" s="9">
        <v>0</v>
      </c>
      <c r="N135" s="14"/>
      <c r="O135" s="11" t="s">
        <v>257</v>
      </c>
      <c r="P135" s="5" t="s">
        <v>56</v>
      </c>
      <c r="Q135" s="12">
        <v>43658</v>
      </c>
      <c r="R135" s="12">
        <v>43646</v>
      </c>
      <c r="S135" s="18"/>
    </row>
    <row r="136" spans="1:19" ht="30" x14ac:dyDescent="0.25">
      <c r="A136" s="5">
        <v>2019</v>
      </c>
      <c r="B136" s="23">
        <v>43556</v>
      </c>
      <c r="C136" s="23">
        <v>43646</v>
      </c>
      <c r="D136" s="5">
        <v>2000</v>
      </c>
      <c r="E136" s="5" t="s">
        <v>121</v>
      </c>
      <c r="F136" s="5" t="s">
        <v>128</v>
      </c>
      <c r="G136" s="7" t="s">
        <v>129</v>
      </c>
      <c r="H136" s="8">
        <v>29386</v>
      </c>
      <c r="I136" s="9">
        <v>29386</v>
      </c>
      <c r="J136" s="9">
        <v>0</v>
      </c>
      <c r="K136" s="9">
        <v>0</v>
      </c>
      <c r="L136" s="9">
        <v>0</v>
      </c>
      <c r="M136" s="9">
        <v>0</v>
      </c>
      <c r="N136" s="13"/>
      <c r="O136" s="11" t="s">
        <v>257</v>
      </c>
      <c r="P136" s="5" t="s">
        <v>56</v>
      </c>
      <c r="Q136" s="12">
        <v>43658</v>
      </c>
      <c r="R136" s="12">
        <v>43646</v>
      </c>
      <c r="S136" s="18"/>
    </row>
    <row r="137" spans="1:19" ht="30" x14ac:dyDescent="0.25">
      <c r="A137" s="5">
        <v>2019</v>
      </c>
      <c r="B137" s="23">
        <v>43556</v>
      </c>
      <c r="C137" s="23">
        <v>43646</v>
      </c>
      <c r="D137" s="5">
        <v>2000</v>
      </c>
      <c r="E137" s="5" t="s">
        <v>121</v>
      </c>
      <c r="F137" s="5" t="s">
        <v>130</v>
      </c>
      <c r="G137" s="7" t="s">
        <v>131</v>
      </c>
      <c r="H137" s="8">
        <f>1117452+7637301</f>
        <v>8754753</v>
      </c>
      <c r="I137" s="9">
        <f>4022876.5+7637301</f>
        <v>11660177.5</v>
      </c>
      <c r="J137" s="9">
        <f>729475.85+31041.6</f>
        <v>760517.45</v>
      </c>
      <c r="K137" s="9">
        <v>165828.15</v>
      </c>
      <c r="L137" s="9">
        <v>165828.15</v>
      </c>
      <c r="M137" s="9">
        <v>165828.15</v>
      </c>
      <c r="N137" s="13"/>
      <c r="O137" s="11" t="s">
        <v>257</v>
      </c>
      <c r="P137" s="5" t="s">
        <v>56</v>
      </c>
      <c r="Q137" s="12">
        <v>43658</v>
      </c>
      <c r="R137" s="12">
        <v>43646</v>
      </c>
      <c r="S137" s="18"/>
    </row>
    <row r="138" spans="1:19" ht="30" x14ac:dyDescent="0.25">
      <c r="A138" s="5">
        <v>2019</v>
      </c>
      <c r="B138" s="23">
        <v>43556</v>
      </c>
      <c r="C138" s="23">
        <v>43646</v>
      </c>
      <c r="D138" s="5">
        <v>2000</v>
      </c>
      <c r="E138" s="5" t="s">
        <v>121</v>
      </c>
      <c r="F138" s="5" t="s">
        <v>132</v>
      </c>
      <c r="G138" s="7" t="s">
        <v>133</v>
      </c>
      <c r="H138" s="8">
        <v>1622546</v>
      </c>
      <c r="I138" s="9">
        <v>1698494.38</v>
      </c>
      <c r="J138" s="9">
        <v>184140.33</v>
      </c>
      <c r="K138" s="9">
        <v>19357.830000000002</v>
      </c>
      <c r="L138" s="9">
        <v>19357.830000000002</v>
      </c>
      <c r="M138" s="9">
        <v>19357.830000000002</v>
      </c>
      <c r="N138" s="13"/>
      <c r="O138" s="11" t="s">
        <v>257</v>
      </c>
      <c r="P138" s="5" t="s">
        <v>56</v>
      </c>
      <c r="Q138" s="12">
        <v>43658</v>
      </c>
      <c r="R138" s="12">
        <v>43646</v>
      </c>
      <c r="S138" s="18"/>
    </row>
    <row r="139" spans="1:19" ht="30" x14ac:dyDescent="0.25">
      <c r="A139" s="5">
        <v>2019</v>
      </c>
      <c r="B139" s="23">
        <v>43556</v>
      </c>
      <c r="C139" s="23">
        <v>43646</v>
      </c>
      <c r="D139" s="5">
        <v>2000</v>
      </c>
      <c r="E139" s="5" t="s">
        <v>121</v>
      </c>
      <c r="F139" s="5">
        <v>2481</v>
      </c>
      <c r="G139" s="7" t="s">
        <v>134</v>
      </c>
      <c r="H139" s="8">
        <v>20906</v>
      </c>
      <c r="I139" s="9">
        <v>0</v>
      </c>
      <c r="J139" s="9">
        <v>0</v>
      </c>
      <c r="K139" s="9">
        <v>0</v>
      </c>
      <c r="L139" s="9">
        <v>0</v>
      </c>
      <c r="M139" s="9">
        <v>0</v>
      </c>
      <c r="N139" s="13"/>
      <c r="O139" s="11" t="s">
        <v>257</v>
      </c>
      <c r="P139" s="5" t="s">
        <v>56</v>
      </c>
      <c r="Q139" s="12">
        <v>43658</v>
      </c>
      <c r="R139" s="12">
        <v>43646</v>
      </c>
      <c r="S139" s="18"/>
    </row>
    <row r="140" spans="1:19" ht="30" x14ac:dyDescent="0.25">
      <c r="A140" s="5">
        <v>2019</v>
      </c>
      <c r="B140" s="23">
        <v>43556</v>
      </c>
      <c r="C140" s="23">
        <v>43646</v>
      </c>
      <c r="D140" s="5">
        <v>2000</v>
      </c>
      <c r="E140" s="5" t="s">
        <v>121</v>
      </c>
      <c r="F140" s="5" t="s">
        <v>135</v>
      </c>
      <c r="G140" s="7" t="s">
        <v>136</v>
      </c>
      <c r="H140" s="8">
        <v>1153462</v>
      </c>
      <c r="I140" s="9">
        <v>1428261.74</v>
      </c>
      <c r="J140" s="9">
        <v>111200.19</v>
      </c>
      <c r="K140" s="9">
        <v>52199.19</v>
      </c>
      <c r="L140" s="9">
        <v>52199.19</v>
      </c>
      <c r="M140" s="9">
        <v>52199.19</v>
      </c>
      <c r="N140" s="13"/>
      <c r="O140" s="11" t="s">
        <v>257</v>
      </c>
      <c r="P140" s="5" t="s">
        <v>56</v>
      </c>
      <c r="Q140" s="12">
        <v>43658</v>
      </c>
      <c r="R140" s="12">
        <v>43646</v>
      </c>
      <c r="S140" s="18"/>
    </row>
    <row r="141" spans="1:19" ht="30" x14ac:dyDescent="0.25">
      <c r="A141" s="5">
        <v>2019</v>
      </c>
      <c r="B141" s="23">
        <v>43556</v>
      </c>
      <c r="C141" s="23">
        <v>43646</v>
      </c>
      <c r="D141" s="5">
        <v>2000</v>
      </c>
      <c r="E141" s="5" t="s">
        <v>137</v>
      </c>
      <c r="F141" s="5" t="s">
        <v>138</v>
      </c>
      <c r="G141" s="7" t="s">
        <v>139</v>
      </c>
      <c r="H141" s="8">
        <v>37822</v>
      </c>
      <c r="I141" s="9">
        <v>20000</v>
      </c>
      <c r="J141" s="9">
        <v>0</v>
      </c>
      <c r="K141" s="9">
        <v>0</v>
      </c>
      <c r="L141" s="9">
        <v>0</v>
      </c>
      <c r="M141" s="9">
        <v>0</v>
      </c>
      <c r="N141" s="13"/>
      <c r="O141" s="11" t="s">
        <v>257</v>
      </c>
      <c r="P141" s="5" t="s">
        <v>56</v>
      </c>
      <c r="Q141" s="12">
        <v>43658</v>
      </c>
      <c r="R141" s="12">
        <v>43646</v>
      </c>
      <c r="S141" s="18"/>
    </row>
    <row r="142" spans="1:19" ht="30" x14ac:dyDescent="0.25">
      <c r="A142" s="5">
        <v>2019</v>
      </c>
      <c r="B142" s="23">
        <v>43556</v>
      </c>
      <c r="C142" s="23">
        <v>43646</v>
      </c>
      <c r="D142" s="5">
        <v>2000</v>
      </c>
      <c r="E142" s="5" t="s">
        <v>137</v>
      </c>
      <c r="F142" s="5" t="s">
        <v>140</v>
      </c>
      <c r="G142" s="7" t="s">
        <v>141</v>
      </c>
      <c r="H142" s="8">
        <v>562839</v>
      </c>
      <c r="I142" s="9">
        <v>562839</v>
      </c>
      <c r="J142" s="9">
        <v>0</v>
      </c>
      <c r="K142" s="9">
        <v>0</v>
      </c>
      <c r="L142" s="9">
        <v>0</v>
      </c>
      <c r="M142" s="9">
        <v>0</v>
      </c>
      <c r="N142" s="13"/>
      <c r="O142" s="11" t="s">
        <v>257</v>
      </c>
      <c r="P142" s="5" t="s">
        <v>56</v>
      </c>
      <c r="Q142" s="12">
        <v>43658</v>
      </c>
      <c r="R142" s="12">
        <v>43646</v>
      </c>
      <c r="S142" s="18"/>
    </row>
    <row r="143" spans="1:19" ht="30" x14ac:dyDescent="0.25">
      <c r="A143" s="5">
        <v>2019</v>
      </c>
      <c r="B143" s="23">
        <v>43556</v>
      </c>
      <c r="C143" s="23">
        <v>43646</v>
      </c>
      <c r="D143" s="5">
        <v>2000</v>
      </c>
      <c r="E143" s="5" t="s">
        <v>137</v>
      </c>
      <c r="F143" s="5" t="s">
        <v>142</v>
      </c>
      <c r="G143" s="7" t="s">
        <v>143</v>
      </c>
      <c r="H143" s="8">
        <v>116347</v>
      </c>
      <c r="I143" s="9">
        <v>116347</v>
      </c>
      <c r="J143" s="9">
        <v>0</v>
      </c>
      <c r="K143" s="9">
        <v>0</v>
      </c>
      <c r="L143" s="9">
        <v>0</v>
      </c>
      <c r="M143" s="9">
        <v>0</v>
      </c>
      <c r="N143" s="13"/>
      <c r="O143" s="11" t="s">
        <v>257</v>
      </c>
      <c r="P143" s="5" t="s">
        <v>56</v>
      </c>
      <c r="Q143" s="12">
        <v>43658</v>
      </c>
      <c r="R143" s="12">
        <v>43646</v>
      </c>
      <c r="S143" s="18"/>
    </row>
    <row r="144" spans="1:19" ht="30" x14ac:dyDescent="0.25">
      <c r="A144" s="5">
        <v>2019</v>
      </c>
      <c r="B144" s="23">
        <v>43556</v>
      </c>
      <c r="C144" s="23">
        <v>43646</v>
      </c>
      <c r="D144" s="5">
        <v>2000</v>
      </c>
      <c r="E144" s="5" t="s">
        <v>137</v>
      </c>
      <c r="F144" s="5" t="s">
        <v>144</v>
      </c>
      <c r="G144" s="7" t="s">
        <v>145</v>
      </c>
      <c r="H144" s="8">
        <v>403543</v>
      </c>
      <c r="I144" s="9">
        <v>432061.9</v>
      </c>
      <c r="J144" s="9">
        <v>0</v>
      </c>
      <c r="K144" s="9">
        <v>0</v>
      </c>
      <c r="L144" s="9">
        <v>0</v>
      </c>
      <c r="M144" s="9">
        <v>0</v>
      </c>
      <c r="N144" s="13"/>
      <c r="O144" s="11" t="s">
        <v>257</v>
      </c>
      <c r="P144" s="5" t="s">
        <v>56</v>
      </c>
      <c r="Q144" s="12">
        <v>43658</v>
      </c>
      <c r="R144" s="12">
        <v>43646</v>
      </c>
      <c r="S144" s="18"/>
    </row>
    <row r="145" spans="1:19" ht="30" x14ac:dyDescent="0.25">
      <c r="A145" s="5">
        <v>2019</v>
      </c>
      <c r="B145" s="23">
        <v>43556</v>
      </c>
      <c r="C145" s="23">
        <v>43646</v>
      </c>
      <c r="D145" s="5">
        <v>2000</v>
      </c>
      <c r="E145" s="5" t="s">
        <v>137</v>
      </c>
      <c r="F145" s="5" t="s">
        <v>146</v>
      </c>
      <c r="G145" s="7" t="s">
        <v>147</v>
      </c>
      <c r="H145" s="8">
        <v>199649</v>
      </c>
      <c r="I145" s="9">
        <v>245426.69</v>
      </c>
      <c r="J145" s="9">
        <v>14679.94</v>
      </c>
      <c r="K145" s="9">
        <v>5320.06</v>
      </c>
      <c r="L145" s="9">
        <v>5320.06</v>
      </c>
      <c r="M145" s="9">
        <v>5320.06</v>
      </c>
      <c r="N145" s="13"/>
      <c r="O145" s="11" t="s">
        <v>257</v>
      </c>
      <c r="P145" s="5" t="s">
        <v>56</v>
      </c>
      <c r="Q145" s="12">
        <v>43658</v>
      </c>
      <c r="R145" s="12">
        <v>43646</v>
      </c>
      <c r="S145" s="18"/>
    </row>
    <row r="146" spans="1:19" ht="30" x14ac:dyDescent="0.25">
      <c r="A146" s="5">
        <v>2019</v>
      </c>
      <c r="B146" s="23">
        <v>43556</v>
      </c>
      <c r="C146" s="23">
        <v>43646</v>
      </c>
      <c r="D146" s="5">
        <v>2000</v>
      </c>
      <c r="E146" s="5" t="s">
        <v>148</v>
      </c>
      <c r="F146" s="5" t="s">
        <v>149</v>
      </c>
      <c r="G146" s="7" t="s">
        <v>150</v>
      </c>
      <c r="H146" s="8">
        <v>9199696</v>
      </c>
      <c r="I146" s="9">
        <v>7637054.5199999996</v>
      </c>
      <c r="J146" s="9">
        <v>3759900.51</v>
      </c>
      <c r="K146" s="9">
        <v>1959224.86</v>
      </c>
      <c r="L146" s="9">
        <v>1959224.86</v>
      </c>
      <c r="M146" s="9">
        <v>1959224.86</v>
      </c>
      <c r="N146" s="13"/>
      <c r="O146" s="11" t="s">
        <v>257</v>
      </c>
      <c r="P146" s="5" t="s">
        <v>56</v>
      </c>
      <c r="Q146" s="12">
        <v>43658</v>
      </c>
      <c r="R146" s="12">
        <v>43646</v>
      </c>
      <c r="S146" s="18"/>
    </row>
    <row r="147" spans="1:19" ht="30" x14ac:dyDescent="0.25">
      <c r="A147" s="5">
        <v>2019</v>
      </c>
      <c r="B147" s="23">
        <v>43556</v>
      </c>
      <c r="C147" s="23">
        <v>43646</v>
      </c>
      <c r="D147" s="5">
        <v>2000</v>
      </c>
      <c r="E147" s="5" t="s">
        <v>148</v>
      </c>
      <c r="F147" s="5" t="s">
        <v>151</v>
      </c>
      <c r="G147" s="7" t="s">
        <v>152</v>
      </c>
      <c r="H147" s="8">
        <v>20737</v>
      </c>
      <c r="I147" s="9">
        <v>40000</v>
      </c>
      <c r="J147" s="9">
        <v>20745.16</v>
      </c>
      <c r="K147" s="9">
        <v>19254.84</v>
      </c>
      <c r="L147" s="9">
        <v>19254.84</v>
      </c>
      <c r="M147" s="9">
        <v>19254.84</v>
      </c>
      <c r="N147" s="13"/>
      <c r="O147" s="11" t="s">
        <v>257</v>
      </c>
      <c r="P147" s="5" t="s">
        <v>56</v>
      </c>
      <c r="Q147" s="12">
        <v>43658</v>
      </c>
      <c r="R147" s="12">
        <v>43646</v>
      </c>
      <c r="S147" s="18"/>
    </row>
    <row r="148" spans="1:19" ht="30" x14ac:dyDescent="0.25">
      <c r="A148" s="5">
        <v>2019</v>
      </c>
      <c r="B148" s="23">
        <v>43556</v>
      </c>
      <c r="C148" s="23">
        <v>43646</v>
      </c>
      <c r="D148" s="5">
        <v>2000</v>
      </c>
      <c r="E148" s="5" t="s">
        <v>153</v>
      </c>
      <c r="F148" s="5" t="s">
        <v>154</v>
      </c>
      <c r="G148" s="7" t="s">
        <v>155</v>
      </c>
      <c r="H148" s="8">
        <f>12906315+3145213</f>
        <v>16051528</v>
      </c>
      <c r="I148" s="9">
        <f>12906315+3145213</f>
        <v>16051528</v>
      </c>
      <c r="J148" s="9">
        <v>0</v>
      </c>
      <c r="K148" s="9">
        <v>0</v>
      </c>
      <c r="L148" s="9">
        <v>0</v>
      </c>
      <c r="M148" s="9">
        <v>0</v>
      </c>
      <c r="N148" s="13"/>
      <c r="O148" s="11" t="s">
        <v>257</v>
      </c>
      <c r="P148" s="5" t="s">
        <v>56</v>
      </c>
      <c r="Q148" s="12">
        <v>43658</v>
      </c>
      <c r="R148" s="12">
        <v>43646</v>
      </c>
      <c r="S148" s="18"/>
    </row>
    <row r="149" spans="1:19" ht="30" x14ac:dyDescent="0.25">
      <c r="A149" s="5">
        <v>2019</v>
      </c>
      <c r="B149" s="23">
        <v>43556</v>
      </c>
      <c r="C149" s="23">
        <v>43646</v>
      </c>
      <c r="D149" s="5">
        <v>2000</v>
      </c>
      <c r="E149" s="5" t="s">
        <v>153</v>
      </c>
      <c r="F149" s="5" t="s">
        <v>156</v>
      </c>
      <c r="G149" s="7" t="s">
        <v>157</v>
      </c>
      <c r="H149" s="8">
        <v>8658853</v>
      </c>
      <c r="I149" s="9">
        <v>8658853</v>
      </c>
      <c r="J149" s="9">
        <v>0</v>
      </c>
      <c r="K149" s="9">
        <v>0</v>
      </c>
      <c r="L149" s="9">
        <v>0</v>
      </c>
      <c r="M149" s="9">
        <v>0</v>
      </c>
      <c r="N149" s="13"/>
      <c r="O149" s="11" t="s">
        <v>257</v>
      </c>
      <c r="P149" s="5" t="s">
        <v>56</v>
      </c>
      <c r="Q149" s="12">
        <v>43658</v>
      </c>
      <c r="R149" s="12">
        <v>43646</v>
      </c>
      <c r="S149" s="18"/>
    </row>
    <row r="150" spans="1:19" ht="30" x14ac:dyDescent="0.25">
      <c r="A150" s="5">
        <v>2019</v>
      </c>
      <c r="B150" s="23">
        <v>43556</v>
      </c>
      <c r="C150" s="23">
        <v>43646</v>
      </c>
      <c r="D150" s="5">
        <v>2000</v>
      </c>
      <c r="E150" s="5" t="s">
        <v>158</v>
      </c>
      <c r="F150" s="5" t="s">
        <v>159</v>
      </c>
      <c r="G150" s="7" t="s">
        <v>160</v>
      </c>
      <c r="H150" s="8">
        <v>959185</v>
      </c>
      <c r="I150" s="9">
        <v>1377747.55</v>
      </c>
      <c r="J150" s="9">
        <v>155985.60999999999</v>
      </c>
      <c r="K150" s="9">
        <v>74714.39</v>
      </c>
      <c r="L150" s="9">
        <v>74714.39</v>
      </c>
      <c r="M150" s="9">
        <v>74714.39</v>
      </c>
      <c r="N150" s="13"/>
      <c r="O150" s="11" t="s">
        <v>257</v>
      </c>
      <c r="P150" s="5" t="s">
        <v>56</v>
      </c>
      <c r="Q150" s="12">
        <v>43658</v>
      </c>
      <c r="R150" s="12">
        <v>43646</v>
      </c>
      <c r="S150" s="18"/>
    </row>
    <row r="151" spans="1:19" ht="30" x14ac:dyDescent="0.25">
      <c r="A151" s="5">
        <v>2019</v>
      </c>
      <c r="B151" s="23">
        <v>43556</v>
      </c>
      <c r="C151" s="23">
        <v>43646</v>
      </c>
      <c r="D151" s="5">
        <v>2000</v>
      </c>
      <c r="E151" s="5" t="s">
        <v>158</v>
      </c>
      <c r="F151" s="5" t="s">
        <v>161</v>
      </c>
      <c r="G151" s="7" t="s">
        <v>162</v>
      </c>
      <c r="H151" s="8">
        <v>5939</v>
      </c>
      <c r="I151" s="9">
        <v>33796.22</v>
      </c>
      <c r="J151" s="9">
        <v>10000</v>
      </c>
      <c r="K151" s="9">
        <v>7395</v>
      </c>
      <c r="L151" s="9">
        <v>7395</v>
      </c>
      <c r="M151" s="9">
        <v>7395</v>
      </c>
      <c r="N151" s="13"/>
      <c r="O151" s="11" t="s">
        <v>257</v>
      </c>
      <c r="P151" s="5" t="s">
        <v>56</v>
      </c>
      <c r="Q151" s="12">
        <v>43658</v>
      </c>
      <c r="R151" s="12">
        <v>43646</v>
      </c>
      <c r="S151" s="18"/>
    </row>
    <row r="152" spans="1:19" ht="30" x14ac:dyDescent="0.25">
      <c r="A152" s="5">
        <v>2019</v>
      </c>
      <c r="B152" s="23">
        <v>43556</v>
      </c>
      <c r="C152" s="23">
        <v>43646</v>
      </c>
      <c r="D152" s="5">
        <v>2000</v>
      </c>
      <c r="E152" s="5" t="s">
        <v>158</v>
      </c>
      <c r="F152" s="5" t="s">
        <v>163</v>
      </c>
      <c r="G152" s="7" t="s">
        <v>164</v>
      </c>
      <c r="H152" s="8">
        <v>40203</v>
      </c>
      <c r="I152" s="9">
        <v>440203</v>
      </c>
      <c r="J152" s="9">
        <v>0</v>
      </c>
      <c r="K152" s="9">
        <v>37583.480000000003</v>
      </c>
      <c r="L152" s="9">
        <v>37583.480000000003</v>
      </c>
      <c r="M152" s="9">
        <v>37583.480000000003</v>
      </c>
      <c r="N152" s="13"/>
      <c r="O152" s="11" t="s">
        <v>257</v>
      </c>
      <c r="P152" s="5" t="s">
        <v>56</v>
      </c>
      <c r="Q152" s="12">
        <v>43658</v>
      </c>
      <c r="R152" s="12">
        <v>43646</v>
      </c>
      <c r="S152" s="18"/>
    </row>
    <row r="153" spans="1:19" ht="30" x14ac:dyDescent="0.25">
      <c r="A153" s="5">
        <v>2019</v>
      </c>
      <c r="B153" s="23">
        <v>43556</v>
      </c>
      <c r="C153" s="23">
        <v>43646</v>
      </c>
      <c r="D153" s="5">
        <v>2000</v>
      </c>
      <c r="E153" s="5" t="s">
        <v>158</v>
      </c>
      <c r="F153" s="5" t="s">
        <v>165</v>
      </c>
      <c r="G153" s="7" t="s">
        <v>166</v>
      </c>
      <c r="H153" s="8">
        <f>7880410+12239578</f>
        <v>20119988</v>
      </c>
      <c r="I153" s="9">
        <f>5146147.77+92568+12239578</f>
        <v>17478293.77</v>
      </c>
      <c r="J153" s="9">
        <f>631048.4+4225015.8</f>
        <v>4856064.2</v>
      </c>
      <c r="K153" s="9">
        <f>545143.34+92568+2754081.28</f>
        <v>3391792.6199999996</v>
      </c>
      <c r="L153" s="9">
        <f t="shared" ref="L153:M153" si="1">545143.34+92568+2754081.28</f>
        <v>3391792.6199999996</v>
      </c>
      <c r="M153" s="9">
        <f t="shared" si="1"/>
        <v>3391792.6199999996</v>
      </c>
      <c r="N153" s="13"/>
      <c r="O153" s="11" t="s">
        <v>257</v>
      </c>
      <c r="P153" s="5" t="s">
        <v>56</v>
      </c>
      <c r="Q153" s="12">
        <v>43658</v>
      </c>
      <c r="R153" s="12">
        <v>43646</v>
      </c>
      <c r="S153" s="18"/>
    </row>
    <row r="154" spans="1:19" ht="30" x14ac:dyDescent="0.25">
      <c r="A154" s="5">
        <v>2019</v>
      </c>
      <c r="B154" s="23">
        <v>43556</v>
      </c>
      <c r="C154" s="23">
        <v>43646</v>
      </c>
      <c r="D154" s="5">
        <v>3000</v>
      </c>
      <c r="E154" s="5" t="s">
        <v>167</v>
      </c>
      <c r="F154" s="5" t="s">
        <v>168</v>
      </c>
      <c r="G154" s="7" t="s">
        <v>169</v>
      </c>
      <c r="H154" s="8">
        <f>25201151+65438736</f>
        <v>90639887</v>
      </c>
      <c r="I154" s="9">
        <f>25201151+46818811.96+17650766</f>
        <v>89670728.960000008</v>
      </c>
      <c r="J154" s="9">
        <f>7027462+46818811.96+4367642</f>
        <v>58213915.960000001</v>
      </c>
      <c r="K154" s="9">
        <f>18173689+13283124</f>
        <v>31456813</v>
      </c>
      <c r="L154" s="9">
        <f t="shared" ref="L154:M154" si="2">18173689+13283124</f>
        <v>31456813</v>
      </c>
      <c r="M154" s="9">
        <f t="shared" si="2"/>
        <v>31456813</v>
      </c>
      <c r="N154" s="15" t="s">
        <v>170</v>
      </c>
      <c r="O154" s="11" t="s">
        <v>257</v>
      </c>
      <c r="P154" s="5" t="s">
        <v>56</v>
      </c>
      <c r="Q154" s="12">
        <v>43658</v>
      </c>
      <c r="R154" s="12">
        <v>43646</v>
      </c>
      <c r="S154" s="18"/>
    </row>
    <row r="155" spans="1:19" ht="30" x14ac:dyDescent="0.25">
      <c r="A155" s="5">
        <v>2019</v>
      </c>
      <c r="B155" s="23">
        <v>43556</v>
      </c>
      <c r="C155" s="23">
        <v>43646</v>
      </c>
      <c r="D155" s="5">
        <v>3000</v>
      </c>
      <c r="E155" s="5" t="s">
        <v>167</v>
      </c>
      <c r="F155" s="5" t="s">
        <v>171</v>
      </c>
      <c r="G155" s="7" t="s">
        <v>172</v>
      </c>
      <c r="H155" s="8">
        <v>1190002</v>
      </c>
      <c r="I155" s="9">
        <v>1190002</v>
      </c>
      <c r="J155" s="9">
        <v>904912.02</v>
      </c>
      <c r="K155" s="9">
        <v>285089.98</v>
      </c>
      <c r="L155" s="9">
        <v>285089.98</v>
      </c>
      <c r="M155" s="9">
        <v>285089.98</v>
      </c>
      <c r="N155" s="15"/>
      <c r="O155" s="11" t="s">
        <v>257</v>
      </c>
      <c r="P155" s="5" t="s">
        <v>56</v>
      </c>
      <c r="Q155" s="12">
        <v>43658</v>
      </c>
      <c r="R155" s="12">
        <v>43646</v>
      </c>
      <c r="S155" s="18"/>
    </row>
    <row r="156" spans="1:19" ht="30" x14ac:dyDescent="0.25">
      <c r="A156" s="5">
        <v>2019</v>
      </c>
      <c r="B156" s="23">
        <v>43556</v>
      </c>
      <c r="C156" s="23">
        <v>43646</v>
      </c>
      <c r="D156" s="5">
        <v>3000</v>
      </c>
      <c r="E156" s="5" t="s">
        <v>167</v>
      </c>
      <c r="F156" s="5" t="s">
        <v>173</v>
      </c>
      <c r="G156" s="7" t="s">
        <v>174</v>
      </c>
      <c r="H156" s="8">
        <v>3159905</v>
      </c>
      <c r="I156" s="9">
        <v>3159905</v>
      </c>
      <c r="J156" s="9">
        <v>2182004</v>
      </c>
      <c r="K156" s="9">
        <v>917996</v>
      </c>
      <c r="L156" s="9">
        <v>917996</v>
      </c>
      <c r="M156" s="9">
        <v>917996</v>
      </c>
      <c r="N156" s="15"/>
      <c r="O156" s="11" t="s">
        <v>257</v>
      </c>
      <c r="P156" s="5" t="s">
        <v>56</v>
      </c>
      <c r="Q156" s="12">
        <v>43658</v>
      </c>
      <c r="R156" s="12">
        <v>43646</v>
      </c>
      <c r="S156" s="18"/>
    </row>
    <row r="157" spans="1:19" ht="30" x14ac:dyDescent="0.25">
      <c r="A157" s="5">
        <v>2019</v>
      </c>
      <c r="B157" s="23">
        <v>43556</v>
      </c>
      <c r="C157" s="23">
        <v>43646</v>
      </c>
      <c r="D157" s="5">
        <v>3000</v>
      </c>
      <c r="E157" s="5" t="s">
        <v>167</v>
      </c>
      <c r="F157" s="5" t="s">
        <v>175</v>
      </c>
      <c r="G157" s="7" t="s">
        <v>176</v>
      </c>
      <c r="H157" s="8">
        <v>416308</v>
      </c>
      <c r="I157" s="9">
        <v>416308</v>
      </c>
      <c r="J157" s="9">
        <v>348381.84</v>
      </c>
      <c r="K157" s="9">
        <v>64926.15</v>
      </c>
      <c r="L157" s="9">
        <v>64926.15</v>
      </c>
      <c r="M157" s="9">
        <v>64926.15</v>
      </c>
      <c r="N157" s="15"/>
      <c r="O157" s="11" t="s">
        <v>257</v>
      </c>
      <c r="P157" s="5" t="s">
        <v>56</v>
      </c>
      <c r="Q157" s="12">
        <v>43658</v>
      </c>
      <c r="R157" s="12">
        <v>43646</v>
      </c>
      <c r="S157" s="18"/>
    </row>
    <row r="158" spans="1:19" ht="30" x14ac:dyDescent="0.25">
      <c r="A158" s="5">
        <v>2019</v>
      </c>
      <c r="B158" s="23">
        <v>43556</v>
      </c>
      <c r="C158" s="23">
        <v>43646</v>
      </c>
      <c r="D158" s="5">
        <v>3000</v>
      </c>
      <c r="E158" s="5" t="s">
        <v>167</v>
      </c>
      <c r="F158" s="5" t="s">
        <v>177</v>
      </c>
      <c r="G158" s="7" t="s">
        <v>178</v>
      </c>
      <c r="H158" s="8">
        <v>715000</v>
      </c>
      <c r="I158" s="9">
        <v>715000</v>
      </c>
      <c r="J158" s="9">
        <v>0</v>
      </c>
      <c r="K158" s="9">
        <v>238150.1</v>
      </c>
      <c r="L158" s="9">
        <v>238150.1</v>
      </c>
      <c r="M158" s="9">
        <v>238150.1</v>
      </c>
      <c r="N158" s="15"/>
      <c r="O158" s="11" t="s">
        <v>257</v>
      </c>
      <c r="P158" s="5" t="s">
        <v>56</v>
      </c>
      <c r="Q158" s="12">
        <v>43658</v>
      </c>
      <c r="R158" s="12">
        <v>43646</v>
      </c>
      <c r="S158" s="18"/>
    </row>
    <row r="159" spans="1:19" ht="30" x14ac:dyDescent="0.25">
      <c r="A159" s="5">
        <v>2019</v>
      </c>
      <c r="B159" s="23">
        <v>43556</v>
      </c>
      <c r="C159" s="23">
        <v>43646</v>
      </c>
      <c r="D159" s="5">
        <v>3000</v>
      </c>
      <c r="E159" s="5" t="s">
        <v>167</v>
      </c>
      <c r="F159" s="5" t="s">
        <v>179</v>
      </c>
      <c r="G159" s="7" t="s">
        <v>180</v>
      </c>
      <c r="H159" s="8">
        <v>1286489</v>
      </c>
      <c r="I159" s="9">
        <v>1467456</v>
      </c>
      <c r="J159" s="9">
        <v>0</v>
      </c>
      <c r="K159" s="9">
        <v>1467456</v>
      </c>
      <c r="L159" s="9">
        <v>1467456</v>
      </c>
      <c r="M159" s="9">
        <v>1467456</v>
      </c>
      <c r="N159" s="15"/>
      <c r="O159" s="11" t="s">
        <v>257</v>
      </c>
      <c r="P159" s="5" t="s">
        <v>56</v>
      </c>
      <c r="Q159" s="12">
        <v>43658</v>
      </c>
      <c r="R159" s="12">
        <v>43646</v>
      </c>
      <c r="S159" s="18"/>
    </row>
    <row r="160" spans="1:19" ht="30" x14ac:dyDescent="0.25">
      <c r="A160" s="5">
        <v>2019</v>
      </c>
      <c r="B160" s="23">
        <v>43556</v>
      </c>
      <c r="C160" s="23">
        <v>43646</v>
      </c>
      <c r="D160" s="5">
        <v>3000</v>
      </c>
      <c r="E160" s="5" t="s">
        <v>167</v>
      </c>
      <c r="F160" s="5" t="s">
        <v>181</v>
      </c>
      <c r="G160" s="7" t="s">
        <v>182</v>
      </c>
      <c r="H160" s="8">
        <v>87813</v>
      </c>
      <c r="I160" s="9">
        <v>87813</v>
      </c>
      <c r="J160" s="9">
        <v>0</v>
      </c>
      <c r="K160" s="9">
        <v>33714.46</v>
      </c>
      <c r="L160" s="9">
        <v>33714.46</v>
      </c>
      <c r="M160" s="9">
        <v>33714.46</v>
      </c>
      <c r="N160" s="16"/>
      <c r="O160" s="11" t="s">
        <v>257</v>
      </c>
      <c r="P160" s="5" t="s">
        <v>56</v>
      </c>
      <c r="Q160" s="12">
        <v>43658</v>
      </c>
      <c r="R160" s="12">
        <v>43646</v>
      </c>
      <c r="S160" s="18"/>
    </row>
    <row r="161" spans="1:19" ht="30" x14ac:dyDescent="0.25">
      <c r="A161" s="5">
        <v>2019</v>
      </c>
      <c r="B161" s="23">
        <v>43556</v>
      </c>
      <c r="C161" s="23">
        <v>43646</v>
      </c>
      <c r="D161" s="5">
        <v>3000</v>
      </c>
      <c r="E161" s="5" t="s">
        <v>167</v>
      </c>
      <c r="F161" s="5">
        <v>3181</v>
      </c>
      <c r="G161" s="7" t="s">
        <v>183</v>
      </c>
      <c r="H161" s="8">
        <v>0</v>
      </c>
      <c r="I161" s="9">
        <v>500</v>
      </c>
      <c r="J161" s="9">
        <v>0</v>
      </c>
      <c r="K161" s="9">
        <v>498.08</v>
      </c>
      <c r="L161" s="9">
        <v>498.08</v>
      </c>
      <c r="M161" s="9">
        <v>498.08</v>
      </c>
      <c r="N161" s="16"/>
      <c r="O161" s="11" t="s">
        <v>257</v>
      </c>
      <c r="P161" s="5" t="s">
        <v>56</v>
      </c>
      <c r="Q161" s="12">
        <v>43658</v>
      </c>
      <c r="R161" s="12">
        <v>43646</v>
      </c>
      <c r="S161" s="18"/>
    </row>
    <row r="162" spans="1:19" ht="30" x14ac:dyDescent="0.25">
      <c r="A162" s="5">
        <v>2019</v>
      </c>
      <c r="B162" s="23">
        <v>43556</v>
      </c>
      <c r="C162" s="23">
        <v>43646</v>
      </c>
      <c r="D162" s="5">
        <v>3000</v>
      </c>
      <c r="E162" s="5" t="s">
        <v>167</v>
      </c>
      <c r="F162" s="5" t="s">
        <v>184</v>
      </c>
      <c r="G162" s="7" t="s">
        <v>185</v>
      </c>
      <c r="H162" s="8">
        <v>870000</v>
      </c>
      <c r="I162" s="9">
        <v>870000</v>
      </c>
      <c r="J162" s="9">
        <v>726763.36</v>
      </c>
      <c r="K162" s="9">
        <v>143236.64000000001</v>
      </c>
      <c r="L162" s="9">
        <v>143236.64000000001</v>
      </c>
      <c r="M162" s="9">
        <v>143236.64000000001</v>
      </c>
      <c r="N162" s="16"/>
      <c r="O162" s="11" t="s">
        <v>257</v>
      </c>
      <c r="P162" s="5" t="s">
        <v>56</v>
      </c>
      <c r="Q162" s="12">
        <v>43658</v>
      </c>
      <c r="R162" s="12">
        <v>43646</v>
      </c>
      <c r="S162" s="18"/>
    </row>
    <row r="163" spans="1:19" ht="30" x14ac:dyDescent="0.25">
      <c r="A163" s="5">
        <v>2019</v>
      </c>
      <c r="B163" s="23">
        <v>43556</v>
      </c>
      <c r="C163" s="23">
        <v>43646</v>
      </c>
      <c r="D163" s="5">
        <v>3000</v>
      </c>
      <c r="E163" s="5" t="s">
        <v>186</v>
      </c>
      <c r="F163" s="5" t="s">
        <v>187</v>
      </c>
      <c r="G163" s="7" t="s">
        <v>188</v>
      </c>
      <c r="H163" s="8">
        <v>112797064</v>
      </c>
      <c r="I163" s="8">
        <v>112797064</v>
      </c>
      <c r="J163" s="9">
        <v>0</v>
      </c>
      <c r="K163" s="9">
        <v>30259537.280000001</v>
      </c>
      <c r="L163" s="9">
        <v>30259537.280000001</v>
      </c>
      <c r="M163" s="9">
        <v>30259537.280000001</v>
      </c>
      <c r="N163" s="16"/>
      <c r="O163" s="11" t="s">
        <v>257</v>
      </c>
      <c r="P163" s="5" t="s">
        <v>56</v>
      </c>
      <c r="Q163" s="12">
        <v>43658</v>
      </c>
      <c r="R163" s="12">
        <v>43646</v>
      </c>
      <c r="S163" s="18"/>
    </row>
    <row r="164" spans="1:19" ht="30" x14ac:dyDescent="0.25">
      <c r="A164" s="5">
        <v>2019</v>
      </c>
      <c r="B164" s="23">
        <v>43556</v>
      </c>
      <c r="C164" s="23">
        <v>43646</v>
      </c>
      <c r="D164" s="5">
        <v>3000</v>
      </c>
      <c r="E164" s="5" t="s">
        <v>186</v>
      </c>
      <c r="F164" s="5" t="s">
        <v>189</v>
      </c>
      <c r="G164" s="7" t="s">
        <v>190</v>
      </c>
      <c r="H164" s="8">
        <v>2341262</v>
      </c>
      <c r="I164" s="8">
        <v>2341262</v>
      </c>
      <c r="J164" s="17">
        <v>0</v>
      </c>
      <c r="K164" s="17">
        <v>0</v>
      </c>
      <c r="L164" s="17">
        <v>0</v>
      </c>
      <c r="M164" s="17">
        <v>0</v>
      </c>
      <c r="N164" s="16"/>
      <c r="O164" s="11" t="s">
        <v>257</v>
      </c>
      <c r="P164" s="5" t="s">
        <v>56</v>
      </c>
      <c r="Q164" s="12">
        <v>43658</v>
      </c>
      <c r="R164" s="12">
        <v>43646</v>
      </c>
      <c r="S164" s="18"/>
    </row>
    <row r="165" spans="1:19" ht="30" x14ac:dyDescent="0.25">
      <c r="A165" s="5">
        <v>2019</v>
      </c>
      <c r="B165" s="23">
        <v>43556</v>
      </c>
      <c r="C165" s="23">
        <v>43646</v>
      </c>
      <c r="D165" s="5">
        <v>3000</v>
      </c>
      <c r="E165" s="5" t="s">
        <v>186</v>
      </c>
      <c r="F165" s="5" t="s">
        <v>191</v>
      </c>
      <c r="G165" s="7" t="s">
        <v>192</v>
      </c>
      <c r="H165" s="8">
        <v>259777</v>
      </c>
      <c r="I165" s="8">
        <v>259777</v>
      </c>
      <c r="J165" s="17">
        <v>196479.46</v>
      </c>
      <c r="K165" s="17">
        <v>63297.53</v>
      </c>
      <c r="L165" s="17">
        <v>63297.53</v>
      </c>
      <c r="M165" s="17">
        <v>63297.53</v>
      </c>
      <c r="N165" s="16"/>
      <c r="O165" s="11" t="s">
        <v>257</v>
      </c>
      <c r="P165" s="5" t="s">
        <v>56</v>
      </c>
      <c r="Q165" s="12">
        <v>43658</v>
      </c>
      <c r="R165" s="12">
        <v>43646</v>
      </c>
      <c r="S165" s="18"/>
    </row>
    <row r="166" spans="1:19" ht="30" x14ac:dyDescent="0.25">
      <c r="A166" s="5">
        <v>2019</v>
      </c>
      <c r="B166" s="23">
        <v>43556</v>
      </c>
      <c r="C166" s="23">
        <v>43646</v>
      </c>
      <c r="D166" s="5">
        <v>3000</v>
      </c>
      <c r="E166" s="5" t="s">
        <v>193</v>
      </c>
      <c r="F166" s="5" t="s">
        <v>194</v>
      </c>
      <c r="G166" s="7" t="s">
        <v>195</v>
      </c>
      <c r="H166" s="8">
        <v>253278</v>
      </c>
      <c r="I166" s="17">
        <v>600000</v>
      </c>
      <c r="J166" s="17">
        <v>250000</v>
      </c>
      <c r="K166" s="17">
        <v>0</v>
      </c>
      <c r="L166" s="17">
        <v>0</v>
      </c>
      <c r="M166" s="17">
        <v>0</v>
      </c>
      <c r="N166" s="16"/>
      <c r="O166" s="11" t="s">
        <v>257</v>
      </c>
      <c r="P166" s="5" t="s">
        <v>56</v>
      </c>
      <c r="Q166" s="12">
        <v>43658</v>
      </c>
      <c r="R166" s="12">
        <v>43646</v>
      </c>
      <c r="S166" s="18"/>
    </row>
    <row r="167" spans="1:19" ht="30" x14ac:dyDescent="0.25">
      <c r="A167" s="5">
        <v>2019</v>
      </c>
      <c r="B167" s="23">
        <v>43556</v>
      </c>
      <c r="C167" s="23">
        <v>43646</v>
      </c>
      <c r="D167" s="5">
        <v>3000</v>
      </c>
      <c r="E167" s="5" t="s">
        <v>193</v>
      </c>
      <c r="F167" s="5" t="s">
        <v>196</v>
      </c>
      <c r="G167" s="7" t="s">
        <v>197</v>
      </c>
      <c r="H167" s="8">
        <v>562839</v>
      </c>
      <c r="I167" s="17">
        <v>562839</v>
      </c>
      <c r="J167" s="17">
        <v>0</v>
      </c>
      <c r="K167" s="17">
        <v>0</v>
      </c>
      <c r="L167" s="17">
        <v>0</v>
      </c>
      <c r="M167" s="17">
        <v>0</v>
      </c>
      <c r="N167" s="16"/>
      <c r="O167" s="11" t="s">
        <v>257</v>
      </c>
      <c r="P167" s="5" t="s">
        <v>56</v>
      </c>
      <c r="Q167" s="12">
        <v>43658</v>
      </c>
      <c r="R167" s="12">
        <v>43646</v>
      </c>
      <c r="S167" s="18"/>
    </row>
    <row r="168" spans="1:19" ht="30" x14ac:dyDescent="0.25">
      <c r="A168" s="5">
        <v>2019</v>
      </c>
      <c r="B168" s="23">
        <v>43556</v>
      </c>
      <c r="C168" s="23">
        <v>43646</v>
      </c>
      <c r="D168" s="5">
        <v>3000</v>
      </c>
      <c r="E168" s="5" t="s">
        <v>193</v>
      </c>
      <c r="F168" s="5" t="s">
        <v>198</v>
      </c>
      <c r="G168" s="7" t="s">
        <v>199</v>
      </c>
      <c r="H168" s="8">
        <v>2199092</v>
      </c>
      <c r="I168" s="17">
        <v>2349092</v>
      </c>
      <c r="J168" s="17">
        <v>177212.88</v>
      </c>
      <c r="K168" s="17">
        <v>0</v>
      </c>
      <c r="L168" s="17">
        <v>0</v>
      </c>
      <c r="M168" s="17">
        <v>0</v>
      </c>
      <c r="N168" s="16"/>
      <c r="O168" s="11" t="s">
        <v>257</v>
      </c>
      <c r="P168" s="5" t="s">
        <v>56</v>
      </c>
      <c r="Q168" s="12">
        <v>43658</v>
      </c>
      <c r="R168" s="12">
        <v>43646</v>
      </c>
      <c r="S168" s="18"/>
    </row>
    <row r="169" spans="1:19" ht="30" x14ac:dyDescent="0.25">
      <c r="A169" s="5">
        <v>2019</v>
      </c>
      <c r="B169" s="23">
        <v>43556</v>
      </c>
      <c r="C169" s="23">
        <v>43646</v>
      </c>
      <c r="D169" s="5">
        <v>3000</v>
      </c>
      <c r="E169" s="5" t="s">
        <v>193</v>
      </c>
      <c r="F169" s="5" t="s">
        <v>200</v>
      </c>
      <c r="G169" s="7" t="s">
        <v>201</v>
      </c>
      <c r="H169" s="8">
        <v>107987</v>
      </c>
      <c r="I169" s="17">
        <v>107987</v>
      </c>
      <c r="J169" s="17">
        <v>10321.93</v>
      </c>
      <c r="K169" s="17">
        <v>14677.9</v>
      </c>
      <c r="L169" s="17">
        <v>14677.9</v>
      </c>
      <c r="M169" s="17">
        <v>14677.9</v>
      </c>
      <c r="N169" s="16"/>
      <c r="O169" s="11" t="s">
        <v>257</v>
      </c>
      <c r="P169" s="5" t="s">
        <v>56</v>
      </c>
      <c r="Q169" s="12">
        <v>43658</v>
      </c>
      <c r="R169" s="12">
        <v>43646</v>
      </c>
      <c r="S169" s="18"/>
    </row>
    <row r="170" spans="1:19" ht="30" x14ac:dyDescent="0.25">
      <c r="A170" s="5">
        <v>2019</v>
      </c>
      <c r="B170" s="23">
        <v>43556</v>
      </c>
      <c r="C170" s="23">
        <v>43646</v>
      </c>
      <c r="D170" s="5">
        <v>3000</v>
      </c>
      <c r="E170" s="5" t="s">
        <v>193</v>
      </c>
      <c r="F170" s="5" t="s">
        <v>202</v>
      </c>
      <c r="G170" s="7" t="s">
        <v>203</v>
      </c>
      <c r="H170" s="8">
        <v>5029367</v>
      </c>
      <c r="I170" s="17">
        <v>8029367</v>
      </c>
      <c r="J170" s="17">
        <v>4085664.94</v>
      </c>
      <c r="K170" s="17">
        <v>424827.06</v>
      </c>
      <c r="L170" s="17">
        <v>424827.06</v>
      </c>
      <c r="M170" s="17">
        <v>424827.06</v>
      </c>
      <c r="N170" s="16"/>
      <c r="O170" s="11" t="s">
        <v>257</v>
      </c>
      <c r="P170" s="5" t="s">
        <v>56</v>
      </c>
      <c r="Q170" s="12">
        <v>43658</v>
      </c>
      <c r="R170" s="12">
        <v>43646</v>
      </c>
      <c r="S170" s="18"/>
    </row>
    <row r="171" spans="1:19" ht="30" x14ac:dyDescent="0.25">
      <c r="A171" s="5">
        <v>2019</v>
      </c>
      <c r="B171" s="23">
        <v>43556</v>
      </c>
      <c r="C171" s="23">
        <v>43646</v>
      </c>
      <c r="D171" s="5">
        <v>3000</v>
      </c>
      <c r="E171" s="5" t="s">
        <v>193</v>
      </c>
      <c r="F171" s="5">
        <v>3391</v>
      </c>
      <c r="G171" s="7" t="s">
        <v>204</v>
      </c>
      <c r="H171" s="8">
        <v>147987</v>
      </c>
      <c r="I171" s="17">
        <f>147987+11000000</f>
        <v>11147987</v>
      </c>
      <c r="J171" s="17">
        <v>0</v>
      </c>
      <c r="K171" s="17">
        <v>0</v>
      </c>
      <c r="L171" s="17">
        <v>0</v>
      </c>
      <c r="M171" s="17">
        <v>0</v>
      </c>
      <c r="N171" s="16"/>
      <c r="O171" s="11" t="s">
        <v>257</v>
      </c>
      <c r="P171" s="5" t="s">
        <v>56</v>
      </c>
      <c r="Q171" s="12">
        <v>43658</v>
      </c>
      <c r="R171" s="12">
        <v>43646</v>
      </c>
      <c r="S171" s="18"/>
    </row>
    <row r="172" spans="1:19" ht="30" x14ac:dyDescent="0.25">
      <c r="A172" s="5">
        <v>2019</v>
      </c>
      <c r="B172" s="23">
        <v>43556</v>
      </c>
      <c r="C172" s="23">
        <v>43646</v>
      </c>
      <c r="D172" s="5">
        <v>3000</v>
      </c>
      <c r="E172" s="5" t="s">
        <v>205</v>
      </c>
      <c r="F172" s="5" t="s">
        <v>206</v>
      </c>
      <c r="G172" s="7" t="s">
        <v>207</v>
      </c>
      <c r="H172" s="8">
        <v>1226615</v>
      </c>
      <c r="I172" s="17">
        <v>1226615</v>
      </c>
      <c r="J172" s="17">
        <v>61703.22</v>
      </c>
      <c r="K172" s="17">
        <v>38296.78</v>
      </c>
      <c r="L172" s="17">
        <v>38296.78</v>
      </c>
      <c r="M172" s="17">
        <v>38296.78</v>
      </c>
      <c r="N172" s="16"/>
      <c r="O172" s="11" t="s">
        <v>257</v>
      </c>
      <c r="P172" s="5" t="s">
        <v>56</v>
      </c>
      <c r="Q172" s="12">
        <v>43658</v>
      </c>
      <c r="R172" s="12">
        <v>43646</v>
      </c>
      <c r="S172" s="18"/>
    </row>
    <row r="173" spans="1:19" ht="30" x14ac:dyDescent="0.25">
      <c r="A173" s="5">
        <v>2019</v>
      </c>
      <c r="B173" s="23">
        <v>43556</v>
      </c>
      <c r="C173" s="23">
        <v>43646</v>
      </c>
      <c r="D173" s="5">
        <v>3000</v>
      </c>
      <c r="E173" s="5" t="s">
        <v>205</v>
      </c>
      <c r="F173" s="5" t="s">
        <v>208</v>
      </c>
      <c r="G173" s="7" t="s">
        <v>209</v>
      </c>
      <c r="H173" s="8">
        <v>2508727</v>
      </c>
      <c r="I173" s="17">
        <v>2508727</v>
      </c>
      <c r="J173" s="17">
        <v>1921005.19</v>
      </c>
      <c r="K173" s="17">
        <v>569920.81000000006</v>
      </c>
      <c r="L173" s="17">
        <v>569920.81000000006</v>
      </c>
      <c r="M173" s="17">
        <v>569920.81000000006</v>
      </c>
      <c r="N173" s="16"/>
      <c r="O173" s="11" t="s">
        <v>257</v>
      </c>
      <c r="P173" s="5" t="s">
        <v>56</v>
      </c>
      <c r="Q173" s="12">
        <v>43658</v>
      </c>
      <c r="R173" s="12">
        <v>43646</v>
      </c>
      <c r="S173" s="18"/>
    </row>
    <row r="174" spans="1:19" ht="30" x14ac:dyDescent="0.25">
      <c r="A174" s="5">
        <v>2019</v>
      </c>
      <c r="B174" s="23">
        <v>43556</v>
      </c>
      <c r="C174" s="23">
        <v>43646</v>
      </c>
      <c r="D174" s="5">
        <v>3000</v>
      </c>
      <c r="E174" s="5" t="s">
        <v>205</v>
      </c>
      <c r="F174" s="5" t="s">
        <v>210</v>
      </c>
      <c r="G174" s="7" t="s">
        <v>211</v>
      </c>
      <c r="H174" s="8">
        <f>15500000+141141165+13252671</f>
        <v>169893836</v>
      </c>
      <c r="I174" s="17">
        <f>15500000+111219857+13252671</f>
        <v>139972528</v>
      </c>
      <c r="J174" s="17">
        <v>58073625.990000002</v>
      </c>
      <c r="K174" s="17">
        <f>15500000+6087429.42+13252671</f>
        <v>34840100.420000002</v>
      </c>
      <c r="L174" s="17">
        <f t="shared" ref="L174:M174" si="3">15500000+6087429.42+13252671</f>
        <v>34840100.420000002</v>
      </c>
      <c r="M174" s="17">
        <f t="shared" si="3"/>
        <v>34840100.420000002</v>
      </c>
      <c r="N174" s="16"/>
      <c r="O174" s="11" t="s">
        <v>257</v>
      </c>
      <c r="P174" s="5" t="s">
        <v>56</v>
      </c>
      <c r="Q174" s="12">
        <v>43658</v>
      </c>
      <c r="R174" s="12">
        <v>43646</v>
      </c>
      <c r="S174" s="18"/>
    </row>
    <row r="175" spans="1:19" ht="30" x14ac:dyDescent="0.25">
      <c r="A175" s="5">
        <v>2019</v>
      </c>
      <c r="B175" s="23">
        <v>43556</v>
      </c>
      <c r="C175" s="23">
        <v>43646</v>
      </c>
      <c r="D175" s="5">
        <v>3000</v>
      </c>
      <c r="E175" s="5" t="s">
        <v>212</v>
      </c>
      <c r="F175" s="5" t="s">
        <v>213</v>
      </c>
      <c r="G175" s="7" t="s">
        <v>214</v>
      </c>
      <c r="H175" s="8">
        <v>636910</v>
      </c>
      <c r="I175" s="17">
        <v>786910</v>
      </c>
      <c r="J175" s="17">
        <v>381650.31</v>
      </c>
      <c r="K175" s="17">
        <v>236783.26</v>
      </c>
      <c r="L175" s="17">
        <v>236783.26</v>
      </c>
      <c r="M175" s="17">
        <v>236783.26</v>
      </c>
      <c r="N175" s="16"/>
      <c r="O175" s="11" t="s">
        <v>257</v>
      </c>
      <c r="P175" s="5" t="s">
        <v>56</v>
      </c>
      <c r="Q175" s="12">
        <v>43658</v>
      </c>
      <c r="R175" s="12">
        <v>43646</v>
      </c>
      <c r="S175" s="18"/>
    </row>
    <row r="176" spans="1:19" ht="30" x14ac:dyDescent="0.25">
      <c r="A176" s="5">
        <v>2019</v>
      </c>
      <c r="B176" s="23">
        <v>43556</v>
      </c>
      <c r="C176" s="23">
        <v>43646</v>
      </c>
      <c r="D176" s="5">
        <v>3000</v>
      </c>
      <c r="E176" s="5" t="s">
        <v>212</v>
      </c>
      <c r="F176" s="5">
        <v>3541</v>
      </c>
      <c r="G176" s="7" t="s">
        <v>215</v>
      </c>
      <c r="H176" s="8">
        <v>0</v>
      </c>
      <c r="I176" s="17">
        <v>5000</v>
      </c>
      <c r="J176" s="17">
        <v>0</v>
      </c>
      <c r="K176" s="17">
        <v>2320</v>
      </c>
      <c r="L176" s="17">
        <v>2320</v>
      </c>
      <c r="M176" s="17">
        <v>2320</v>
      </c>
      <c r="N176" s="16"/>
      <c r="O176" s="11" t="s">
        <v>257</v>
      </c>
      <c r="P176" s="5" t="s">
        <v>56</v>
      </c>
      <c r="Q176" s="12">
        <v>43658</v>
      </c>
      <c r="R176" s="12">
        <v>43646</v>
      </c>
      <c r="S176" s="18"/>
    </row>
    <row r="177" spans="1:19" ht="30" x14ac:dyDescent="0.25">
      <c r="A177" s="5">
        <v>2019</v>
      </c>
      <c r="B177" s="23">
        <v>43556</v>
      </c>
      <c r="C177" s="23">
        <v>43646</v>
      </c>
      <c r="D177" s="5">
        <v>3000</v>
      </c>
      <c r="E177" s="5" t="s">
        <v>212</v>
      </c>
      <c r="F177" s="5" t="s">
        <v>216</v>
      </c>
      <c r="G177" s="7" t="s">
        <v>217</v>
      </c>
      <c r="H177" s="8">
        <f>2604738+101903008</f>
        <v>104507746</v>
      </c>
      <c r="I177" s="17">
        <f>7125880+9246125</f>
        <v>16372005</v>
      </c>
      <c r="J177" s="17">
        <v>799657.58</v>
      </c>
      <c r="K177" s="17">
        <v>200342.42</v>
      </c>
      <c r="L177" s="17">
        <v>200342.42</v>
      </c>
      <c r="M177" s="17">
        <v>200342.42</v>
      </c>
      <c r="N177" s="16"/>
      <c r="O177" s="11" t="s">
        <v>257</v>
      </c>
      <c r="P177" s="5" t="s">
        <v>56</v>
      </c>
      <c r="Q177" s="12">
        <v>43658</v>
      </c>
      <c r="R177" s="12">
        <v>43646</v>
      </c>
      <c r="S177" s="18"/>
    </row>
    <row r="178" spans="1:19" ht="30" x14ac:dyDescent="0.25">
      <c r="A178" s="5">
        <v>2019</v>
      </c>
      <c r="B178" s="23">
        <v>43556</v>
      </c>
      <c r="C178" s="23">
        <v>43646</v>
      </c>
      <c r="D178" s="5">
        <v>3000</v>
      </c>
      <c r="E178" s="5" t="s">
        <v>212</v>
      </c>
      <c r="F178" s="5" t="s">
        <v>218</v>
      </c>
      <c r="G178" s="7" t="s">
        <v>219</v>
      </c>
      <c r="H178" s="8">
        <v>255047</v>
      </c>
      <c r="I178" s="17">
        <v>255047</v>
      </c>
      <c r="J178" s="17">
        <v>66307.12</v>
      </c>
      <c r="K178" s="17">
        <v>9942.8799999999992</v>
      </c>
      <c r="L178" s="17">
        <v>9942.8799999999992</v>
      </c>
      <c r="M178" s="17">
        <v>9942.8799999999992</v>
      </c>
      <c r="N178" s="16"/>
      <c r="O178" s="11" t="s">
        <v>257</v>
      </c>
      <c r="P178" s="5" t="s">
        <v>56</v>
      </c>
      <c r="Q178" s="12">
        <v>43658</v>
      </c>
      <c r="R178" s="12">
        <v>43646</v>
      </c>
      <c r="S178" s="18"/>
    </row>
    <row r="179" spans="1:19" ht="30" x14ac:dyDescent="0.25">
      <c r="A179" s="5">
        <v>2019</v>
      </c>
      <c r="B179" s="23">
        <v>43556</v>
      </c>
      <c r="C179" s="23">
        <v>43646</v>
      </c>
      <c r="D179" s="5">
        <v>3000</v>
      </c>
      <c r="E179" s="5" t="s">
        <v>212</v>
      </c>
      <c r="F179" s="5" t="s">
        <v>220</v>
      </c>
      <c r="G179" s="7" t="s">
        <v>221</v>
      </c>
      <c r="H179" s="8">
        <f>3890607+234993883</f>
        <v>238884490</v>
      </c>
      <c r="I179" s="17">
        <f>3222305.01+299000000</f>
        <v>302222305.00999999</v>
      </c>
      <c r="J179" s="17">
        <f>214450.36+199202999.43</f>
        <v>199417449.79000002</v>
      </c>
      <c r="K179" s="17">
        <f>216696.14+85372714.03</f>
        <v>85589410.170000002</v>
      </c>
      <c r="L179" s="17">
        <f t="shared" ref="L179:M179" si="4">216696.14+85372714.03</f>
        <v>85589410.170000002</v>
      </c>
      <c r="M179" s="17">
        <f t="shared" si="4"/>
        <v>85589410.170000002</v>
      </c>
      <c r="N179" s="16"/>
      <c r="O179" s="11" t="s">
        <v>257</v>
      </c>
      <c r="P179" s="5" t="s">
        <v>56</v>
      </c>
      <c r="Q179" s="12">
        <v>43658</v>
      </c>
      <c r="R179" s="12">
        <v>43646</v>
      </c>
      <c r="S179" s="18"/>
    </row>
    <row r="180" spans="1:19" ht="30" x14ac:dyDescent="0.25">
      <c r="A180" s="5">
        <v>2019</v>
      </c>
      <c r="B180" s="23">
        <v>43556</v>
      </c>
      <c r="C180" s="23">
        <v>43646</v>
      </c>
      <c r="D180" s="5">
        <v>3000</v>
      </c>
      <c r="E180" s="5" t="s">
        <v>212</v>
      </c>
      <c r="F180" s="5" t="s">
        <v>222</v>
      </c>
      <c r="G180" s="7" t="s">
        <v>223</v>
      </c>
      <c r="H180" s="8">
        <v>3683751</v>
      </c>
      <c r="I180" s="17">
        <v>12393751</v>
      </c>
      <c r="J180" s="17">
        <v>9735681.1199999992</v>
      </c>
      <c r="K180" s="17">
        <v>2319160.25</v>
      </c>
      <c r="L180" s="17">
        <v>2319160.25</v>
      </c>
      <c r="M180" s="17">
        <v>2319160.25</v>
      </c>
      <c r="N180" s="16"/>
      <c r="O180" s="11" t="s">
        <v>257</v>
      </c>
      <c r="P180" s="5" t="s">
        <v>56</v>
      </c>
      <c r="Q180" s="12">
        <v>43658</v>
      </c>
      <c r="R180" s="12">
        <v>43646</v>
      </c>
      <c r="S180" s="18"/>
    </row>
    <row r="181" spans="1:19" ht="30" x14ac:dyDescent="0.25">
      <c r="A181" s="5">
        <v>2019</v>
      </c>
      <c r="B181" s="23">
        <v>43556</v>
      </c>
      <c r="C181" s="23">
        <v>43646</v>
      </c>
      <c r="D181" s="5">
        <v>3000</v>
      </c>
      <c r="E181" s="5" t="s">
        <v>212</v>
      </c>
      <c r="F181" s="5" t="s">
        <v>224</v>
      </c>
      <c r="G181" s="7" t="s">
        <v>225</v>
      </c>
      <c r="H181" s="8">
        <v>776439</v>
      </c>
      <c r="I181" s="17">
        <v>1000000</v>
      </c>
      <c r="J181" s="17">
        <v>567152.9</v>
      </c>
      <c r="K181" s="17">
        <v>0</v>
      </c>
      <c r="L181" s="17">
        <v>0</v>
      </c>
      <c r="M181" s="17">
        <v>0</v>
      </c>
      <c r="N181" s="16"/>
      <c r="O181" s="11" t="s">
        <v>257</v>
      </c>
      <c r="P181" s="5" t="s">
        <v>56</v>
      </c>
      <c r="Q181" s="12">
        <v>43658</v>
      </c>
      <c r="R181" s="12">
        <v>43646</v>
      </c>
      <c r="S181" s="18"/>
    </row>
    <row r="182" spans="1:19" ht="30" x14ac:dyDescent="0.25">
      <c r="A182" s="5">
        <v>2019</v>
      </c>
      <c r="B182" s="23">
        <v>43556</v>
      </c>
      <c r="C182" s="23">
        <v>43646</v>
      </c>
      <c r="D182" s="5">
        <v>3000</v>
      </c>
      <c r="E182" s="5" t="s">
        <v>226</v>
      </c>
      <c r="F182" s="5" t="s">
        <v>227</v>
      </c>
      <c r="G182" s="7" t="s">
        <v>228</v>
      </c>
      <c r="H182" s="8">
        <v>0</v>
      </c>
      <c r="I182" s="17">
        <v>12301.04</v>
      </c>
      <c r="J182" s="17">
        <v>0</v>
      </c>
      <c r="K182" s="17">
        <v>5880.5</v>
      </c>
      <c r="L182" s="17">
        <v>5880.5</v>
      </c>
      <c r="M182" s="17">
        <v>5880.5</v>
      </c>
      <c r="N182" s="16"/>
      <c r="O182" s="11" t="s">
        <v>257</v>
      </c>
      <c r="P182" s="5" t="s">
        <v>56</v>
      </c>
      <c r="Q182" s="12">
        <v>43658</v>
      </c>
      <c r="R182" s="12">
        <v>43646</v>
      </c>
      <c r="S182" s="18"/>
    </row>
    <row r="183" spans="1:19" ht="30" x14ac:dyDescent="0.25">
      <c r="A183" s="5">
        <v>2019</v>
      </c>
      <c r="B183" s="23">
        <v>43556</v>
      </c>
      <c r="C183" s="23">
        <v>43646</v>
      </c>
      <c r="D183" s="5">
        <v>3000</v>
      </c>
      <c r="E183" s="5" t="s">
        <v>226</v>
      </c>
      <c r="F183" s="5" t="s">
        <v>229</v>
      </c>
      <c r="G183" s="7" t="s">
        <v>230</v>
      </c>
      <c r="H183" s="8">
        <v>156791</v>
      </c>
      <c r="I183" s="17">
        <v>156791</v>
      </c>
      <c r="J183" s="17">
        <v>1200</v>
      </c>
      <c r="K183" s="17">
        <v>45500</v>
      </c>
      <c r="L183" s="17">
        <v>45500</v>
      </c>
      <c r="M183" s="17">
        <v>45500</v>
      </c>
      <c r="N183" s="16"/>
      <c r="O183" s="11" t="s">
        <v>257</v>
      </c>
      <c r="P183" s="5" t="s">
        <v>56</v>
      </c>
      <c r="Q183" s="12">
        <v>43658</v>
      </c>
      <c r="R183" s="12">
        <v>43646</v>
      </c>
      <c r="S183" s="18"/>
    </row>
    <row r="184" spans="1:19" ht="30" x14ac:dyDescent="0.25">
      <c r="A184" s="5">
        <v>2019</v>
      </c>
      <c r="B184" s="23">
        <v>43556</v>
      </c>
      <c r="C184" s="23">
        <v>43646</v>
      </c>
      <c r="D184" s="5">
        <v>3000</v>
      </c>
      <c r="E184" s="5" t="s">
        <v>226</v>
      </c>
      <c r="F184" s="5" t="s">
        <v>231</v>
      </c>
      <c r="G184" s="7" t="s">
        <v>232</v>
      </c>
      <c r="H184" s="8">
        <v>0</v>
      </c>
      <c r="I184" s="17">
        <v>806857</v>
      </c>
      <c r="J184" s="17">
        <v>0</v>
      </c>
      <c r="K184" s="17">
        <v>151971.48000000001</v>
      </c>
      <c r="L184" s="17">
        <v>151971.48000000001</v>
      </c>
      <c r="M184" s="17">
        <v>151971.48000000001</v>
      </c>
      <c r="N184" s="16"/>
      <c r="O184" s="11" t="s">
        <v>257</v>
      </c>
      <c r="P184" s="5" t="s">
        <v>56</v>
      </c>
      <c r="Q184" s="12">
        <v>43658</v>
      </c>
      <c r="R184" s="12">
        <v>43646</v>
      </c>
      <c r="S184" s="18"/>
    </row>
    <row r="185" spans="1:19" ht="30" x14ac:dyDescent="0.25">
      <c r="A185" s="5">
        <v>2019</v>
      </c>
      <c r="B185" s="23">
        <v>43556</v>
      </c>
      <c r="C185" s="23">
        <v>43646</v>
      </c>
      <c r="D185" s="5">
        <v>3000</v>
      </c>
      <c r="E185" s="5" t="s">
        <v>233</v>
      </c>
      <c r="F185" s="5" t="s">
        <v>234</v>
      </c>
      <c r="G185" s="7" t="s">
        <v>235</v>
      </c>
      <c r="H185" s="8">
        <v>804056</v>
      </c>
      <c r="I185" s="17">
        <v>804056</v>
      </c>
      <c r="J185" s="17">
        <v>0</v>
      </c>
      <c r="K185" s="17">
        <v>0</v>
      </c>
      <c r="L185" s="17">
        <v>0</v>
      </c>
      <c r="M185" s="17">
        <v>0</v>
      </c>
      <c r="N185" s="16"/>
      <c r="O185" s="11" t="s">
        <v>257</v>
      </c>
      <c r="P185" s="5" t="s">
        <v>56</v>
      </c>
      <c r="Q185" s="12">
        <v>43658</v>
      </c>
      <c r="R185" s="12">
        <v>43646</v>
      </c>
      <c r="S185" s="18"/>
    </row>
    <row r="186" spans="1:19" ht="30" x14ac:dyDescent="0.25">
      <c r="A186" s="5">
        <v>2019</v>
      </c>
      <c r="B186" s="23">
        <v>43556</v>
      </c>
      <c r="C186" s="23">
        <v>43646</v>
      </c>
      <c r="D186" s="5">
        <v>3000</v>
      </c>
      <c r="E186" s="5" t="s">
        <v>236</v>
      </c>
      <c r="F186" s="5" t="s">
        <v>237</v>
      </c>
      <c r="G186" s="7" t="s">
        <v>238</v>
      </c>
      <c r="H186" s="8">
        <v>3843893</v>
      </c>
      <c r="I186" s="17">
        <v>3843893</v>
      </c>
      <c r="J186" s="17">
        <v>878294.6</v>
      </c>
      <c r="K186" s="17">
        <v>2892624.4</v>
      </c>
      <c r="L186" s="17">
        <v>2892624.4</v>
      </c>
      <c r="M186" s="17">
        <v>2892624.4</v>
      </c>
      <c r="N186" s="16"/>
      <c r="O186" s="11" t="s">
        <v>257</v>
      </c>
      <c r="P186" s="5" t="s">
        <v>56</v>
      </c>
      <c r="Q186" s="12">
        <v>43658</v>
      </c>
      <c r="R186" s="12">
        <v>43646</v>
      </c>
      <c r="S186" s="18"/>
    </row>
    <row r="187" spans="1:19" ht="30" x14ac:dyDescent="0.25">
      <c r="A187" s="5">
        <v>2019</v>
      </c>
      <c r="B187" s="23">
        <v>43556</v>
      </c>
      <c r="C187" s="23">
        <v>43646</v>
      </c>
      <c r="D187" s="5">
        <v>3000</v>
      </c>
      <c r="E187" s="5" t="s">
        <v>236</v>
      </c>
      <c r="F187" s="5" t="s">
        <v>239</v>
      </c>
      <c r="G187" s="7" t="s">
        <v>240</v>
      </c>
      <c r="H187" s="8">
        <v>1150000</v>
      </c>
      <c r="I187" s="17">
        <v>1150000</v>
      </c>
      <c r="J187" s="17">
        <v>0</v>
      </c>
      <c r="K187" s="17">
        <v>0</v>
      </c>
      <c r="L187" s="17">
        <v>0</v>
      </c>
      <c r="M187" s="17">
        <v>0</v>
      </c>
      <c r="N187" s="16"/>
      <c r="O187" s="11" t="s">
        <v>257</v>
      </c>
      <c r="P187" s="5" t="s">
        <v>56</v>
      </c>
      <c r="Q187" s="12">
        <v>43658</v>
      </c>
      <c r="R187" s="12">
        <v>43646</v>
      </c>
      <c r="S187" s="18"/>
    </row>
    <row r="188" spans="1:19" ht="30" x14ac:dyDescent="0.25">
      <c r="A188" s="5">
        <v>2019</v>
      </c>
      <c r="B188" s="23">
        <v>43556</v>
      </c>
      <c r="C188" s="23">
        <v>43646</v>
      </c>
      <c r="D188" s="5">
        <v>3000</v>
      </c>
      <c r="E188" s="5" t="s">
        <v>236</v>
      </c>
      <c r="F188" s="5" t="s">
        <v>241</v>
      </c>
      <c r="G188" s="7" t="s">
        <v>242</v>
      </c>
      <c r="H188" s="8">
        <v>19112201</v>
      </c>
      <c r="I188" s="17">
        <v>19112201</v>
      </c>
      <c r="J188" s="17">
        <v>12498703.07</v>
      </c>
      <c r="K188" s="17">
        <v>6613497.9299999997</v>
      </c>
      <c r="L188" s="17">
        <v>6613497.9299999997</v>
      </c>
      <c r="M188" s="17">
        <v>6613497.9299999997</v>
      </c>
      <c r="N188" s="16"/>
      <c r="O188" s="11" t="s">
        <v>257</v>
      </c>
      <c r="P188" s="5" t="s">
        <v>56</v>
      </c>
      <c r="Q188" s="12">
        <v>43658</v>
      </c>
      <c r="R188" s="12">
        <v>43646</v>
      </c>
      <c r="S188" s="18"/>
    </row>
    <row r="189" spans="1:19" ht="30" x14ac:dyDescent="0.25">
      <c r="A189" s="5">
        <v>2019</v>
      </c>
      <c r="B189" s="23">
        <v>43556</v>
      </c>
      <c r="C189" s="23">
        <v>43646</v>
      </c>
      <c r="D189" s="5">
        <v>3000</v>
      </c>
      <c r="E189" s="5" t="s">
        <v>236</v>
      </c>
      <c r="F189" s="5" t="s">
        <v>243</v>
      </c>
      <c r="G189" s="7" t="s">
        <v>244</v>
      </c>
      <c r="H189" s="8">
        <v>5615801</v>
      </c>
      <c r="I189" s="17">
        <v>5615801</v>
      </c>
      <c r="J189" s="17">
        <v>5615801</v>
      </c>
      <c r="K189" s="17">
        <v>0</v>
      </c>
      <c r="L189" s="17">
        <v>0</v>
      </c>
      <c r="M189" s="17">
        <v>0</v>
      </c>
      <c r="N189" s="16"/>
      <c r="O189" s="11" t="s">
        <v>257</v>
      </c>
      <c r="P189" s="5" t="s">
        <v>56</v>
      </c>
      <c r="Q189" s="12">
        <v>43658</v>
      </c>
      <c r="R189" s="12">
        <v>43646</v>
      </c>
      <c r="S189" s="18"/>
    </row>
    <row r="190" spans="1:19" ht="30" x14ac:dyDescent="0.25">
      <c r="A190" s="5">
        <v>2019</v>
      </c>
      <c r="B190" s="23">
        <v>43556</v>
      </c>
      <c r="C190" s="23">
        <v>43646</v>
      </c>
      <c r="D190" s="5">
        <v>3000</v>
      </c>
      <c r="E190" s="5" t="s">
        <v>236</v>
      </c>
      <c r="F190" s="5" t="s">
        <v>245</v>
      </c>
      <c r="G190" s="7" t="s">
        <v>246</v>
      </c>
      <c r="H190" s="8">
        <v>6578692</v>
      </c>
      <c r="I190" s="17">
        <v>36500000</v>
      </c>
      <c r="J190" s="17">
        <v>21175000</v>
      </c>
      <c r="K190" s="17">
        <v>15125000</v>
      </c>
      <c r="L190" s="17">
        <v>15125000</v>
      </c>
      <c r="M190" s="17">
        <v>15125000</v>
      </c>
      <c r="N190" s="16"/>
      <c r="O190" s="11" t="s">
        <v>257</v>
      </c>
      <c r="P190" s="5" t="s">
        <v>56</v>
      </c>
      <c r="Q190" s="12">
        <v>43658</v>
      </c>
      <c r="R190" s="12">
        <v>43646</v>
      </c>
      <c r="S190" s="18"/>
    </row>
    <row r="191" spans="1:19" ht="30" x14ac:dyDescent="0.25">
      <c r="A191" s="5">
        <v>2019</v>
      </c>
      <c r="B191" s="23">
        <v>43556</v>
      </c>
      <c r="C191" s="23">
        <v>43646</v>
      </c>
      <c r="D191" s="5">
        <v>4000</v>
      </c>
      <c r="E191" s="5" t="s">
        <v>247</v>
      </c>
      <c r="F191" s="5" t="s">
        <v>248</v>
      </c>
      <c r="G191" s="7" t="s">
        <v>249</v>
      </c>
      <c r="H191" s="8">
        <v>500000</v>
      </c>
      <c r="I191" s="17">
        <v>500000</v>
      </c>
      <c r="J191" s="17">
        <v>288000</v>
      </c>
      <c r="K191" s="17">
        <v>0</v>
      </c>
      <c r="L191" s="17">
        <v>0</v>
      </c>
      <c r="M191" s="17">
        <v>0</v>
      </c>
      <c r="N191" s="18" t="s">
        <v>250</v>
      </c>
      <c r="O191" s="11" t="s">
        <v>257</v>
      </c>
      <c r="P191" s="5" t="s">
        <v>56</v>
      </c>
      <c r="Q191" s="12">
        <v>43658</v>
      </c>
      <c r="R191" s="12">
        <v>43646</v>
      </c>
      <c r="S191" s="18"/>
    </row>
    <row r="192" spans="1:19" ht="30" x14ac:dyDescent="0.25">
      <c r="A192" s="5">
        <v>2019</v>
      </c>
      <c r="B192" s="23">
        <v>43556</v>
      </c>
      <c r="C192" s="23">
        <v>43646</v>
      </c>
      <c r="D192" s="5">
        <v>4000</v>
      </c>
      <c r="E192" s="5" t="s">
        <v>247</v>
      </c>
      <c r="F192" s="5">
        <v>4451</v>
      </c>
      <c r="G192" s="7" t="s">
        <v>251</v>
      </c>
      <c r="H192" s="8">
        <v>7768704</v>
      </c>
      <c r="I192" s="17">
        <v>7768704</v>
      </c>
      <c r="J192" s="17">
        <v>2938064.57</v>
      </c>
      <c r="K192" s="17">
        <v>4830639.43</v>
      </c>
      <c r="L192" s="17">
        <v>4830639.43</v>
      </c>
      <c r="M192" s="17">
        <v>4830639.43</v>
      </c>
      <c r="N192" s="18"/>
      <c r="O192" s="11" t="s">
        <v>257</v>
      </c>
      <c r="P192" s="5" t="s">
        <v>56</v>
      </c>
      <c r="Q192" s="12">
        <v>43658</v>
      </c>
      <c r="R192" s="12">
        <v>43646</v>
      </c>
      <c r="S192" s="18"/>
    </row>
    <row r="193" spans="1:19" ht="30" x14ac:dyDescent="0.25">
      <c r="A193" s="5">
        <v>2019</v>
      </c>
      <c r="B193" s="23">
        <v>43556</v>
      </c>
      <c r="C193" s="23">
        <v>43646</v>
      </c>
      <c r="D193" s="5">
        <v>4000</v>
      </c>
      <c r="E193" s="5" t="s">
        <v>252</v>
      </c>
      <c r="F193" s="5" t="s">
        <v>253</v>
      </c>
      <c r="G193" s="7" t="s">
        <v>254</v>
      </c>
      <c r="H193" s="8">
        <v>149500000</v>
      </c>
      <c r="I193" s="17">
        <v>149500000</v>
      </c>
      <c r="J193" s="17">
        <v>72821440.239999995</v>
      </c>
      <c r="K193" s="17">
        <v>76678559.760000005</v>
      </c>
      <c r="L193" s="17">
        <v>76678559.760000005</v>
      </c>
      <c r="M193" s="17">
        <v>76678559.760000005</v>
      </c>
      <c r="N193" s="18"/>
      <c r="O193" s="11" t="s">
        <v>257</v>
      </c>
      <c r="P193" s="5" t="s">
        <v>56</v>
      </c>
      <c r="Q193" s="12">
        <v>43658</v>
      </c>
      <c r="R193" s="12">
        <v>43646</v>
      </c>
      <c r="S193" s="18"/>
    </row>
    <row r="194" spans="1:19" ht="30" x14ac:dyDescent="0.25">
      <c r="A194" s="5">
        <v>2019</v>
      </c>
      <c r="B194" s="23">
        <v>43556</v>
      </c>
      <c r="C194" s="23">
        <v>43646</v>
      </c>
      <c r="D194" s="19">
        <v>5000</v>
      </c>
      <c r="E194" s="19">
        <v>5400</v>
      </c>
      <c r="F194" s="19">
        <v>5412</v>
      </c>
      <c r="G194" s="20" t="s">
        <v>255</v>
      </c>
      <c r="H194" s="21">
        <v>292231296</v>
      </c>
      <c r="I194" s="17">
        <v>292231296</v>
      </c>
      <c r="J194" s="17">
        <v>235421344.59999999</v>
      </c>
      <c r="K194" s="17">
        <v>54328002.600000001</v>
      </c>
      <c r="L194" s="17">
        <v>54328002.600000001</v>
      </c>
      <c r="M194" s="17">
        <v>54328002.600000001</v>
      </c>
      <c r="N194" s="18" t="s">
        <v>250</v>
      </c>
      <c r="O194" s="11" t="s">
        <v>257</v>
      </c>
      <c r="P194" s="5" t="s">
        <v>56</v>
      </c>
      <c r="Q194" s="12">
        <v>43658</v>
      </c>
      <c r="R194" s="12">
        <v>43646</v>
      </c>
      <c r="S194" s="18"/>
    </row>
    <row r="195" spans="1:19" ht="30" x14ac:dyDescent="0.25">
      <c r="A195" s="5">
        <v>2019</v>
      </c>
      <c r="B195" s="23">
        <v>43556</v>
      </c>
      <c r="C195" s="23">
        <v>43646</v>
      </c>
      <c r="D195" s="19">
        <v>5000</v>
      </c>
      <c r="E195" s="19">
        <v>5600</v>
      </c>
      <c r="F195" s="19">
        <v>5651</v>
      </c>
      <c r="G195" s="18" t="s">
        <v>256</v>
      </c>
      <c r="H195" s="21">
        <v>50000000</v>
      </c>
      <c r="I195" s="17">
        <v>50000000</v>
      </c>
      <c r="J195" s="17">
        <v>0</v>
      </c>
      <c r="K195" s="17">
        <v>0</v>
      </c>
      <c r="L195" s="17">
        <v>0</v>
      </c>
      <c r="M195" s="17">
        <v>0</v>
      </c>
      <c r="N195" s="18"/>
      <c r="O195" s="11" t="s">
        <v>257</v>
      </c>
      <c r="P195" s="5" t="s">
        <v>56</v>
      </c>
      <c r="Q195" s="12">
        <v>43658</v>
      </c>
      <c r="R195" s="12">
        <v>43646</v>
      </c>
      <c r="S195" s="18"/>
    </row>
    <row r="196" spans="1:19" ht="127.5" x14ac:dyDescent="0.25">
      <c r="A196" s="5">
        <v>2019</v>
      </c>
      <c r="B196" s="23">
        <v>43466</v>
      </c>
      <c r="C196" s="23">
        <v>43738</v>
      </c>
      <c r="D196" s="5">
        <v>1000</v>
      </c>
      <c r="E196" s="5">
        <v>1100</v>
      </c>
      <c r="F196" s="5">
        <v>1131</v>
      </c>
      <c r="G196" s="7" t="s">
        <v>53</v>
      </c>
      <c r="H196" s="8">
        <v>274168872</v>
      </c>
      <c r="I196" s="8">
        <v>274168872</v>
      </c>
      <c r="J196" s="9">
        <v>64209982.859999999</v>
      </c>
      <c r="K196" s="9">
        <v>192465751.28</v>
      </c>
      <c r="L196" s="9">
        <v>192465751.28</v>
      </c>
      <c r="M196" s="9">
        <v>192465751.28</v>
      </c>
      <c r="N196" s="24" t="s">
        <v>258</v>
      </c>
      <c r="O196" s="25" t="s">
        <v>259</v>
      </c>
      <c r="P196" s="5" t="s">
        <v>56</v>
      </c>
      <c r="Q196" s="12">
        <v>43752</v>
      </c>
      <c r="R196" s="12">
        <v>43738</v>
      </c>
      <c r="S196" s="18"/>
    </row>
    <row r="197" spans="1:19" ht="30" x14ac:dyDescent="0.25">
      <c r="A197" s="5">
        <v>2019</v>
      </c>
      <c r="B197" s="23">
        <v>43466</v>
      </c>
      <c r="C197" s="23">
        <v>43738</v>
      </c>
      <c r="D197" s="5">
        <v>1000</v>
      </c>
      <c r="E197" s="5" t="s">
        <v>57</v>
      </c>
      <c r="F197" s="5" t="s">
        <v>58</v>
      </c>
      <c r="G197" s="7" t="s">
        <v>59</v>
      </c>
      <c r="H197" s="8">
        <v>10284220</v>
      </c>
      <c r="I197" s="8">
        <v>10284220</v>
      </c>
      <c r="J197" s="9">
        <v>2702512.37</v>
      </c>
      <c r="K197" s="9">
        <v>6740257.3899999997</v>
      </c>
      <c r="L197" s="9">
        <v>6740257.3899999997</v>
      </c>
      <c r="M197" s="9">
        <v>6740257.3899999997</v>
      </c>
      <c r="N197" s="26"/>
      <c r="O197" s="25" t="s">
        <v>259</v>
      </c>
      <c r="P197" s="5" t="s">
        <v>56</v>
      </c>
      <c r="Q197" s="12">
        <v>43752</v>
      </c>
      <c r="R197" s="12">
        <v>43738</v>
      </c>
      <c r="S197" s="18"/>
    </row>
    <row r="198" spans="1:19" ht="30" x14ac:dyDescent="0.25">
      <c r="A198" s="5">
        <v>2019</v>
      </c>
      <c r="B198" s="23">
        <v>43466</v>
      </c>
      <c r="C198" s="23">
        <v>43738</v>
      </c>
      <c r="D198" s="5">
        <v>1000</v>
      </c>
      <c r="E198" s="5">
        <v>1300</v>
      </c>
      <c r="F198" s="5" t="s">
        <v>60</v>
      </c>
      <c r="G198" s="7" t="s">
        <v>61</v>
      </c>
      <c r="H198" s="8">
        <v>22975293</v>
      </c>
      <c r="I198" s="8">
        <v>22975293</v>
      </c>
      <c r="J198" s="9">
        <v>8076926.6900000004</v>
      </c>
      <c r="K198" s="9">
        <v>14898235.310000001</v>
      </c>
      <c r="L198" s="9">
        <v>14898235.310000001</v>
      </c>
      <c r="M198" s="9">
        <v>14898235.310000001</v>
      </c>
      <c r="N198" s="26"/>
      <c r="O198" s="25" t="s">
        <v>259</v>
      </c>
      <c r="P198" s="5" t="s">
        <v>56</v>
      </c>
      <c r="Q198" s="12">
        <v>43752</v>
      </c>
      <c r="R198" s="12">
        <v>43738</v>
      </c>
      <c r="S198" s="18"/>
    </row>
    <row r="199" spans="1:19" ht="30" x14ac:dyDescent="0.25">
      <c r="A199" s="5">
        <v>2019</v>
      </c>
      <c r="B199" s="23">
        <v>43466</v>
      </c>
      <c r="C199" s="23">
        <v>43738</v>
      </c>
      <c r="D199" s="5">
        <v>1000</v>
      </c>
      <c r="E199" s="5">
        <v>1300</v>
      </c>
      <c r="F199" s="5" t="s">
        <v>62</v>
      </c>
      <c r="G199" s="7" t="s">
        <v>63</v>
      </c>
      <c r="H199" s="8">
        <v>5225548</v>
      </c>
      <c r="I199" s="8">
        <v>5225548</v>
      </c>
      <c r="J199" s="9">
        <v>1009755.43</v>
      </c>
      <c r="K199" s="9">
        <v>3896078.54</v>
      </c>
      <c r="L199" s="9">
        <v>3896078.54</v>
      </c>
      <c r="M199" s="9">
        <v>3896078.54</v>
      </c>
      <c r="N199" s="26"/>
      <c r="O199" s="25" t="s">
        <v>259</v>
      </c>
      <c r="P199" s="5" t="s">
        <v>56</v>
      </c>
      <c r="Q199" s="12">
        <v>43752</v>
      </c>
      <c r="R199" s="12">
        <v>43738</v>
      </c>
      <c r="S199" s="18"/>
    </row>
    <row r="200" spans="1:19" ht="30" x14ac:dyDescent="0.25">
      <c r="A200" s="5">
        <v>2019</v>
      </c>
      <c r="B200" s="23">
        <v>43466</v>
      </c>
      <c r="C200" s="23">
        <v>43738</v>
      </c>
      <c r="D200" s="5">
        <v>1000</v>
      </c>
      <c r="E200" s="5">
        <v>1300</v>
      </c>
      <c r="F200" s="5" t="s">
        <v>64</v>
      </c>
      <c r="G200" s="7" t="s">
        <v>65</v>
      </c>
      <c r="H200" s="8">
        <v>43041534</v>
      </c>
      <c r="I200" s="8">
        <v>43041534</v>
      </c>
      <c r="J200" s="9">
        <v>17803282.010000002</v>
      </c>
      <c r="K200" s="9">
        <v>22322349.989999998</v>
      </c>
      <c r="L200" s="9">
        <v>22322349.989999998</v>
      </c>
      <c r="M200" s="9">
        <v>22322349.989999998</v>
      </c>
      <c r="N200" s="26"/>
      <c r="O200" s="25" t="s">
        <v>259</v>
      </c>
      <c r="P200" s="5" t="s">
        <v>56</v>
      </c>
      <c r="Q200" s="12">
        <v>43752</v>
      </c>
      <c r="R200" s="12">
        <v>43738</v>
      </c>
      <c r="S200" s="18"/>
    </row>
    <row r="201" spans="1:19" ht="30" x14ac:dyDescent="0.25">
      <c r="A201" s="5">
        <v>2019</v>
      </c>
      <c r="B201" s="23">
        <v>43466</v>
      </c>
      <c r="C201" s="23">
        <v>43738</v>
      </c>
      <c r="D201" s="5">
        <v>1000</v>
      </c>
      <c r="E201" s="5">
        <v>1300</v>
      </c>
      <c r="F201" s="5" t="s">
        <v>66</v>
      </c>
      <c r="G201" s="7" t="s">
        <v>67</v>
      </c>
      <c r="H201" s="8">
        <v>9139470</v>
      </c>
      <c r="I201" s="8">
        <v>9139470</v>
      </c>
      <c r="J201" s="9">
        <v>2441083.87</v>
      </c>
      <c r="K201" s="9">
        <v>6698386.1299999999</v>
      </c>
      <c r="L201" s="9">
        <v>6698386.1299999999</v>
      </c>
      <c r="M201" s="9">
        <v>6698386.1299999999</v>
      </c>
      <c r="N201" s="27"/>
      <c r="O201" s="25" t="s">
        <v>259</v>
      </c>
      <c r="P201" s="5" t="s">
        <v>56</v>
      </c>
      <c r="Q201" s="12">
        <v>43752</v>
      </c>
      <c r="R201" s="12">
        <v>43738</v>
      </c>
      <c r="S201" s="18"/>
    </row>
    <row r="202" spans="1:19" ht="30" x14ac:dyDescent="0.25">
      <c r="A202" s="5">
        <v>2019</v>
      </c>
      <c r="B202" s="23">
        <v>43466</v>
      </c>
      <c r="C202" s="23">
        <v>43738</v>
      </c>
      <c r="D202" s="5">
        <v>1000</v>
      </c>
      <c r="E202" s="5">
        <v>1300</v>
      </c>
      <c r="F202" s="5" t="s">
        <v>68</v>
      </c>
      <c r="G202" s="7" t="s">
        <v>69</v>
      </c>
      <c r="H202" s="8">
        <v>16197870</v>
      </c>
      <c r="I202" s="8">
        <v>16197870</v>
      </c>
      <c r="J202" s="9">
        <v>6789261.1500000004</v>
      </c>
      <c r="K202" s="9">
        <v>9408608.8499999996</v>
      </c>
      <c r="L202" s="9">
        <v>9408608.8499999996</v>
      </c>
      <c r="M202" s="9">
        <v>9408608.8499999996</v>
      </c>
      <c r="N202" s="13"/>
      <c r="O202" s="25" t="s">
        <v>259</v>
      </c>
      <c r="P202" s="5" t="s">
        <v>56</v>
      </c>
      <c r="Q202" s="12">
        <v>43752</v>
      </c>
      <c r="R202" s="12">
        <v>43738</v>
      </c>
      <c r="S202" s="18"/>
    </row>
    <row r="203" spans="1:19" ht="30" x14ac:dyDescent="0.25">
      <c r="A203" s="5">
        <v>2019</v>
      </c>
      <c r="B203" s="23">
        <v>43466</v>
      </c>
      <c r="C203" s="23">
        <v>43738</v>
      </c>
      <c r="D203" s="5">
        <v>1000</v>
      </c>
      <c r="E203" s="5" t="s">
        <v>70</v>
      </c>
      <c r="F203" s="5" t="s">
        <v>71</v>
      </c>
      <c r="G203" s="7" t="s">
        <v>72</v>
      </c>
      <c r="H203" s="8">
        <v>77187567</v>
      </c>
      <c r="I203" s="8">
        <v>77187567</v>
      </c>
      <c r="J203" s="9">
        <v>26980855.710000001</v>
      </c>
      <c r="K203" s="9">
        <v>43099889.979999997</v>
      </c>
      <c r="L203" s="9">
        <v>43099889.979999997</v>
      </c>
      <c r="M203" s="9">
        <v>43099889.979999997</v>
      </c>
      <c r="N203" s="13"/>
      <c r="O203" s="25" t="s">
        <v>259</v>
      </c>
      <c r="P203" s="5" t="s">
        <v>56</v>
      </c>
      <c r="Q203" s="12">
        <v>43752</v>
      </c>
      <c r="R203" s="12">
        <v>43738</v>
      </c>
      <c r="S203" s="18"/>
    </row>
    <row r="204" spans="1:19" ht="30" x14ac:dyDescent="0.25">
      <c r="A204" s="5">
        <v>2019</v>
      </c>
      <c r="B204" s="23">
        <v>43466</v>
      </c>
      <c r="C204" s="23">
        <v>43738</v>
      </c>
      <c r="D204" s="5">
        <v>1000</v>
      </c>
      <c r="E204" s="5">
        <v>1400</v>
      </c>
      <c r="F204" s="5" t="s">
        <v>73</v>
      </c>
      <c r="G204" s="7" t="s">
        <v>74</v>
      </c>
      <c r="H204" s="8">
        <v>25150383</v>
      </c>
      <c r="I204" s="8">
        <v>25150383</v>
      </c>
      <c r="J204" s="9">
        <v>6333203.1100000003</v>
      </c>
      <c r="K204" s="9">
        <v>17751377.350000001</v>
      </c>
      <c r="L204" s="9">
        <v>17751377.350000001</v>
      </c>
      <c r="M204" s="9">
        <v>17751377.350000001</v>
      </c>
      <c r="N204" s="13"/>
      <c r="O204" s="25" t="s">
        <v>259</v>
      </c>
      <c r="P204" s="5" t="s">
        <v>56</v>
      </c>
      <c r="Q204" s="12">
        <v>43752</v>
      </c>
      <c r="R204" s="12">
        <v>43738</v>
      </c>
      <c r="S204" s="18"/>
    </row>
    <row r="205" spans="1:19" ht="30" x14ac:dyDescent="0.25">
      <c r="A205" s="5">
        <v>2019</v>
      </c>
      <c r="B205" s="23">
        <v>43466</v>
      </c>
      <c r="C205" s="23">
        <v>43738</v>
      </c>
      <c r="D205" s="5">
        <v>1000</v>
      </c>
      <c r="E205" s="5">
        <v>1400</v>
      </c>
      <c r="F205" s="5" t="s">
        <v>75</v>
      </c>
      <c r="G205" s="7" t="s">
        <v>76</v>
      </c>
      <c r="H205" s="8">
        <v>31726580</v>
      </c>
      <c r="I205" s="8">
        <v>31726580</v>
      </c>
      <c r="J205" s="9">
        <v>13119076.91</v>
      </c>
      <c r="K205" s="9">
        <v>18151660.09</v>
      </c>
      <c r="L205" s="9">
        <v>18151660.09</v>
      </c>
      <c r="M205" s="9">
        <v>18151660.09</v>
      </c>
      <c r="N205" s="13"/>
      <c r="O205" s="25" t="s">
        <v>259</v>
      </c>
      <c r="P205" s="5" t="s">
        <v>56</v>
      </c>
      <c r="Q205" s="12">
        <v>43752</v>
      </c>
      <c r="R205" s="12">
        <v>43738</v>
      </c>
      <c r="S205" s="18"/>
    </row>
    <row r="206" spans="1:19" ht="30" x14ac:dyDescent="0.25">
      <c r="A206" s="5">
        <v>2019</v>
      </c>
      <c r="B206" s="23">
        <v>43466</v>
      </c>
      <c r="C206" s="23">
        <v>43738</v>
      </c>
      <c r="D206" s="5">
        <v>1000</v>
      </c>
      <c r="E206" s="5">
        <v>1400</v>
      </c>
      <c r="F206" s="5" t="s">
        <v>77</v>
      </c>
      <c r="G206" s="7" t="s">
        <v>78</v>
      </c>
      <c r="H206" s="8">
        <v>3703336</v>
      </c>
      <c r="I206" s="8">
        <v>3703336</v>
      </c>
      <c r="J206" s="9">
        <v>2838211</v>
      </c>
      <c r="K206" s="9">
        <v>865125</v>
      </c>
      <c r="L206" s="9">
        <v>865125</v>
      </c>
      <c r="M206" s="9">
        <v>865125</v>
      </c>
      <c r="N206" s="13"/>
      <c r="O206" s="25" t="s">
        <v>259</v>
      </c>
      <c r="P206" s="5" t="s">
        <v>56</v>
      </c>
      <c r="Q206" s="12">
        <v>43752</v>
      </c>
      <c r="R206" s="12">
        <v>43738</v>
      </c>
      <c r="S206" s="18"/>
    </row>
    <row r="207" spans="1:19" ht="30" x14ac:dyDescent="0.25">
      <c r="A207" s="5">
        <v>2019</v>
      </c>
      <c r="B207" s="23">
        <v>43466</v>
      </c>
      <c r="C207" s="23">
        <v>43738</v>
      </c>
      <c r="D207" s="5">
        <v>1000</v>
      </c>
      <c r="E207" s="5" t="s">
        <v>79</v>
      </c>
      <c r="F207" s="5" t="s">
        <v>80</v>
      </c>
      <c r="G207" s="7" t="s">
        <v>81</v>
      </c>
      <c r="H207" s="8">
        <v>45127468</v>
      </c>
      <c r="I207" s="8">
        <v>45127468</v>
      </c>
      <c r="J207" s="9">
        <v>10580394.859999999</v>
      </c>
      <c r="K207" s="9">
        <v>32534608.239999998</v>
      </c>
      <c r="L207" s="9">
        <v>32534608.239999998</v>
      </c>
      <c r="M207" s="9">
        <v>32534608.239999998</v>
      </c>
      <c r="N207" s="13"/>
      <c r="O207" s="25" t="s">
        <v>259</v>
      </c>
      <c r="P207" s="5" t="s">
        <v>56</v>
      </c>
      <c r="Q207" s="12">
        <v>43752</v>
      </c>
      <c r="R207" s="12">
        <v>43738</v>
      </c>
      <c r="S207" s="18"/>
    </row>
    <row r="208" spans="1:19" ht="30" x14ac:dyDescent="0.25">
      <c r="A208" s="5">
        <v>2019</v>
      </c>
      <c r="B208" s="23">
        <v>43466</v>
      </c>
      <c r="C208" s="23">
        <v>43738</v>
      </c>
      <c r="D208" s="5">
        <v>1000</v>
      </c>
      <c r="E208" s="5">
        <v>1500</v>
      </c>
      <c r="F208" s="5" t="s">
        <v>82</v>
      </c>
      <c r="G208" s="7" t="s">
        <v>83</v>
      </c>
      <c r="H208" s="8">
        <v>5000000</v>
      </c>
      <c r="I208" s="8">
        <f>5000000+16395898.23</f>
        <v>21395898.23</v>
      </c>
      <c r="J208" s="9">
        <v>2864717.74</v>
      </c>
      <c r="K208" s="9">
        <v>2135282.2599999998</v>
      </c>
      <c r="L208" s="9">
        <v>2135282.2599999998</v>
      </c>
      <c r="M208" s="9">
        <v>2135282.2599999998</v>
      </c>
      <c r="N208" s="13"/>
      <c r="O208" s="25" t="s">
        <v>259</v>
      </c>
      <c r="P208" s="5" t="s">
        <v>56</v>
      </c>
      <c r="Q208" s="12">
        <v>43752</v>
      </c>
      <c r="R208" s="12">
        <v>43738</v>
      </c>
      <c r="S208" s="18"/>
    </row>
    <row r="209" spans="1:19" ht="30" x14ac:dyDescent="0.25">
      <c r="A209" s="5">
        <v>2019</v>
      </c>
      <c r="B209" s="23">
        <v>43466</v>
      </c>
      <c r="C209" s="23">
        <v>43738</v>
      </c>
      <c r="D209" s="5">
        <v>1000</v>
      </c>
      <c r="E209" s="5">
        <v>1500</v>
      </c>
      <c r="F209" s="5" t="s">
        <v>84</v>
      </c>
      <c r="G209" s="7" t="s">
        <v>85</v>
      </c>
      <c r="H209" s="8">
        <v>50000000</v>
      </c>
      <c r="I209" s="8">
        <v>50000000</v>
      </c>
      <c r="J209" s="9">
        <v>11610269.189999999</v>
      </c>
      <c r="K209" s="9">
        <v>38389730.810000002</v>
      </c>
      <c r="L209" s="9">
        <v>38389730.810000002</v>
      </c>
      <c r="M209" s="9">
        <v>38389730.810000002</v>
      </c>
      <c r="N209" s="13"/>
      <c r="O209" s="25" t="s">
        <v>259</v>
      </c>
      <c r="P209" s="5" t="s">
        <v>56</v>
      </c>
      <c r="Q209" s="12">
        <v>43752</v>
      </c>
      <c r="R209" s="12">
        <v>43738</v>
      </c>
      <c r="S209" s="18"/>
    </row>
    <row r="210" spans="1:19" ht="30" x14ac:dyDescent="0.25">
      <c r="A210" s="5">
        <v>2019</v>
      </c>
      <c r="B210" s="23">
        <v>43466</v>
      </c>
      <c r="C210" s="23">
        <v>43738</v>
      </c>
      <c r="D210" s="5">
        <v>1000</v>
      </c>
      <c r="E210" s="5">
        <v>1500</v>
      </c>
      <c r="F210" s="5" t="s">
        <v>86</v>
      </c>
      <c r="G210" s="7" t="s">
        <v>87</v>
      </c>
      <c r="H210" s="8">
        <f>19659885+41735622</f>
        <v>61395507</v>
      </c>
      <c r="I210" s="8">
        <f>19659885+41735622</f>
        <v>61395507</v>
      </c>
      <c r="J210" s="9">
        <f>4567837.56+41735622</f>
        <v>46303459.560000002</v>
      </c>
      <c r="K210" s="9">
        <v>13820352.869999999</v>
      </c>
      <c r="L210" s="9">
        <v>13820352.869999999</v>
      </c>
      <c r="M210" s="9">
        <v>13820352.869999999</v>
      </c>
      <c r="N210" s="13"/>
      <c r="O210" s="25" t="s">
        <v>259</v>
      </c>
      <c r="P210" s="5" t="s">
        <v>56</v>
      </c>
      <c r="Q210" s="12">
        <v>43752</v>
      </c>
      <c r="R210" s="12">
        <v>43738</v>
      </c>
      <c r="S210" s="18"/>
    </row>
    <row r="211" spans="1:19" ht="30" x14ac:dyDescent="0.25">
      <c r="A211" s="5">
        <v>2019</v>
      </c>
      <c r="B211" s="23">
        <v>43466</v>
      </c>
      <c r="C211" s="23">
        <v>43738</v>
      </c>
      <c r="D211" s="5">
        <v>1000</v>
      </c>
      <c r="E211" s="5">
        <v>1500</v>
      </c>
      <c r="F211" s="5" t="s">
        <v>88</v>
      </c>
      <c r="G211" s="7" t="s">
        <v>89</v>
      </c>
      <c r="H211" s="8">
        <v>287152</v>
      </c>
      <c r="I211" s="8">
        <v>287152</v>
      </c>
      <c r="J211" s="9">
        <v>123351.06</v>
      </c>
      <c r="K211" s="9">
        <v>138421.31</v>
      </c>
      <c r="L211" s="9">
        <v>138421.31</v>
      </c>
      <c r="M211" s="9">
        <v>138421.31</v>
      </c>
      <c r="N211" s="13"/>
      <c r="O211" s="25" t="s">
        <v>259</v>
      </c>
      <c r="P211" s="5" t="s">
        <v>56</v>
      </c>
      <c r="Q211" s="12">
        <v>43752</v>
      </c>
      <c r="R211" s="12">
        <v>43738</v>
      </c>
      <c r="S211" s="18"/>
    </row>
    <row r="212" spans="1:19" ht="30" x14ac:dyDescent="0.25">
      <c r="A212" s="5">
        <v>2019</v>
      </c>
      <c r="B212" s="23">
        <v>43466</v>
      </c>
      <c r="C212" s="23">
        <v>43738</v>
      </c>
      <c r="D212" s="5">
        <v>1000</v>
      </c>
      <c r="E212" s="5">
        <v>1500</v>
      </c>
      <c r="F212" s="5" t="s">
        <v>90</v>
      </c>
      <c r="G212" s="7" t="s">
        <v>91</v>
      </c>
      <c r="H212" s="8">
        <v>12956151</v>
      </c>
      <c r="I212" s="8">
        <v>12956151</v>
      </c>
      <c r="J212" s="9">
        <v>3747394.51</v>
      </c>
      <c r="K212" s="9">
        <v>7512032</v>
      </c>
      <c r="L212" s="9">
        <v>7512032</v>
      </c>
      <c r="M212" s="9">
        <v>7512032</v>
      </c>
      <c r="N212" s="13"/>
      <c r="O212" s="25" t="s">
        <v>259</v>
      </c>
      <c r="P212" s="5" t="s">
        <v>56</v>
      </c>
      <c r="Q212" s="12">
        <v>43752</v>
      </c>
      <c r="R212" s="12">
        <v>43738</v>
      </c>
      <c r="S212" s="18"/>
    </row>
    <row r="213" spans="1:19" ht="30" x14ac:dyDescent="0.25">
      <c r="A213" s="5">
        <v>2019</v>
      </c>
      <c r="B213" s="23">
        <v>43466</v>
      </c>
      <c r="C213" s="23">
        <v>43738</v>
      </c>
      <c r="D213" s="5">
        <v>1000</v>
      </c>
      <c r="E213" s="5">
        <v>1500</v>
      </c>
      <c r="F213" s="5" t="s">
        <v>92</v>
      </c>
      <c r="G213" s="7" t="s">
        <v>93</v>
      </c>
      <c r="H213" s="8">
        <v>2751469</v>
      </c>
      <c r="I213" s="8">
        <v>2751469</v>
      </c>
      <c r="J213" s="9">
        <v>1633843.26</v>
      </c>
      <c r="K213" s="9">
        <v>1057460.94</v>
      </c>
      <c r="L213" s="9">
        <v>1057460.94</v>
      </c>
      <c r="M213" s="9">
        <v>1057460.94</v>
      </c>
      <c r="N213" s="13"/>
      <c r="O213" s="25" t="s">
        <v>259</v>
      </c>
      <c r="P213" s="5" t="s">
        <v>56</v>
      </c>
      <c r="Q213" s="12">
        <v>43752</v>
      </c>
      <c r="R213" s="12">
        <v>43738</v>
      </c>
      <c r="S213" s="18"/>
    </row>
    <row r="214" spans="1:19" ht="30" x14ac:dyDescent="0.25">
      <c r="A214" s="5">
        <v>2019</v>
      </c>
      <c r="B214" s="23">
        <v>43466</v>
      </c>
      <c r="C214" s="23">
        <v>43738</v>
      </c>
      <c r="D214" s="5">
        <v>1000</v>
      </c>
      <c r="E214" s="5">
        <v>1500</v>
      </c>
      <c r="F214" s="5" t="s">
        <v>94</v>
      </c>
      <c r="G214" s="7" t="s">
        <v>95</v>
      </c>
      <c r="H214" s="8">
        <v>1000000</v>
      </c>
      <c r="I214" s="8">
        <v>1000000</v>
      </c>
      <c r="J214" s="9">
        <v>0</v>
      </c>
      <c r="K214" s="9">
        <v>0</v>
      </c>
      <c r="L214" s="9">
        <v>0</v>
      </c>
      <c r="M214" s="9">
        <v>0</v>
      </c>
      <c r="N214" s="13"/>
      <c r="O214" s="25" t="s">
        <v>259</v>
      </c>
      <c r="P214" s="5" t="s">
        <v>56</v>
      </c>
      <c r="Q214" s="12">
        <v>43752</v>
      </c>
      <c r="R214" s="12">
        <v>43738</v>
      </c>
      <c r="S214" s="18"/>
    </row>
    <row r="215" spans="1:19" ht="30" x14ac:dyDescent="0.25">
      <c r="A215" s="5">
        <v>2019</v>
      </c>
      <c r="B215" s="23">
        <v>43466</v>
      </c>
      <c r="C215" s="23">
        <v>43738</v>
      </c>
      <c r="D215" s="5">
        <v>1000</v>
      </c>
      <c r="E215" s="5">
        <v>1500</v>
      </c>
      <c r="F215" s="5" t="s">
        <v>96</v>
      </c>
      <c r="G215" s="7" t="s">
        <v>97</v>
      </c>
      <c r="H215" s="8">
        <v>2601522</v>
      </c>
      <c r="I215" s="8">
        <v>2601522</v>
      </c>
      <c r="J215" s="9">
        <v>338173.27</v>
      </c>
      <c r="K215" s="9">
        <v>452667.73</v>
      </c>
      <c r="L215" s="9">
        <v>452667.73</v>
      </c>
      <c r="M215" s="9">
        <v>452667.73</v>
      </c>
      <c r="N215" s="13"/>
      <c r="O215" s="25" t="s">
        <v>259</v>
      </c>
      <c r="P215" s="5" t="s">
        <v>56</v>
      </c>
      <c r="Q215" s="12">
        <v>43752</v>
      </c>
      <c r="R215" s="12">
        <v>43738</v>
      </c>
      <c r="S215" s="18"/>
    </row>
    <row r="216" spans="1:19" ht="30" x14ac:dyDescent="0.25">
      <c r="A216" s="5">
        <v>2019</v>
      </c>
      <c r="B216" s="23">
        <v>43466</v>
      </c>
      <c r="C216" s="23">
        <v>43738</v>
      </c>
      <c r="D216" s="5">
        <v>1000</v>
      </c>
      <c r="E216" s="5">
        <v>1500</v>
      </c>
      <c r="F216" s="5" t="s">
        <v>98</v>
      </c>
      <c r="G216" s="7" t="s">
        <v>99</v>
      </c>
      <c r="H216" s="8">
        <v>22312852</v>
      </c>
      <c r="I216" s="8">
        <v>22312852</v>
      </c>
      <c r="J216" s="9">
        <v>4639363.6500000004</v>
      </c>
      <c r="K216" s="9">
        <v>16958202.350000001</v>
      </c>
      <c r="L216" s="9">
        <v>16958202.350000001</v>
      </c>
      <c r="M216" s="9">
        <v>16958202.350000001</v>
      </c>
      <c r="N216" s="13"/>
      <c r="O216" s="25" t="s">
        <v>259</v>
      </c>
      <c r="P216" s="5" t="s">
        <v>56</v>
      </c>
      <c r="Q216" s="12">
        <v>43752</v>
      </c>
      <c r="R216" s="12">
        <v>43738</v>
      </c>
      <c r="S216" s="18"/>
    </row>
    <row r="217" spans="1:19" ht="30" x14ac:dyDescent="0.25">
      <c r="A217" s="5">
        <v>2019</v>
      </c>
      <c r="B217" s="23">
        <v>43466</v>
      </c>
      <c r="C217" s="23">
        <v>43738</v>
      </c>
      <c r="D217" s="5">
        <v>1000</v>
      </c>
      <c r="E217" s="5">
        <v>1500</v>
      </c>
      <c r="F217" s="5" t="s">
        <v>100</v>
      </c>
      <c r="G217" s="7" t="s">
        <v>101</v>
      </c>
      <c r="H217" s="8">
        <v>169500</v>
      </c>
      <c r="I217" s="8">
        <v>169500</v>
      </c>
      <c r="J217" s="9">
        <v>0</v>
      </c>
      <c r="K217" s="9">
        <v>0</v>
      </c>
      <c r="L217" s="9">
        <v>0</v>
      </c>
      <c r="M217" s="9">
        <v>0</v>
      </c>
      <c r="N217" s="13"/>
      <c r="O217" s="25" t="s">
        <v>259</v>
      </c>
      <c r="P217" s="5" t="s">
        <v>56</v>
      </c>
      <c r="Q217" s="12">
        <v>43752</v>
      </c>
      <c r="R217" s="12">
        <v>43738</v>
      </c>
      <c r="S217" s="18"/>
    </row>
    <row r="218" spans="1:19" ht="30" x14ac:dyDescent="0.25">
      <c r="A218" s="5">
        <v>2019</v>
      </c>
      <c r="B218" s="23">
        <v>43466</v>
      </c>
      <c r="C218" s="23">
        <v>43738</v>
      </c>
      <c r="D218" s="5">
        <v>1000</v>
      </c>
      <c r="E218" s="5">
        <v>1500</v>
      </c>
      <c r="F218" s="5" t="s">
        <v>102</v>
      </c>
      <c r="G218" s="7" t="s">
        <v>103</v>
      </c>
      <c r="H218" s="8">
        <v>70000</v>
      </c>
      <c r="I218" s="8">
        <v>70000</v>
      </c>
      <c r="J218" s="9">
        <v>0</v>
      </c>
      <c r="K218" s="9">
        <v>0</v>
      </c>
      <c r="L218" s="9">
        <v>0</v>
      </c>
      <c r="M218" s="9">
        <v>0</v>
      </c>
      <c r="N218" s="13"/>
      <c r="O218" s="25" t="s">
        <v>259</v>
      </c>
      <c r="P218" s="5" t="s">
        <v>56</v>
      </c>
      <c r="Q218" s="12">
        <v>43752</v>
      </c>
      <c r="R218" s="12">
        <v>43738</v>
      </c>
      <c r="S218" s="18"/>
    </row>
    <row r="219" spans="1:19" ht="30" x14ac:dyDescent="0.25">
      <c r="A219" s="5">
        <v>2019</v>
      </c>
      <c r="B219" s="23">
        <v>43466</v>
      </c>
      <c r="C219" s="23">
        <v>43738</v>
      </c>
      <c r="D219" s="5">
        <v>1000</v>
      </c>
      <c r="E219" s="5">
        <v>1600</v>
      </c>
      <c r="F219" s="5">
        <v>1611</v>
      </c>
      <c r="G219" s="7" t="s">
        <v>104</v>
      </c>
      <c r="H219" s="8">
        <v>1032347</v>
      </c>
      <c r="I219" s="8">
        <v>1032347</v>
      </c>
      <c r="J219" s="9">
        <v>0</v>
      </c>
      <c r="K219" s="9">
        <v>0</v>
      </c>
      <c r="L219" s="9">
        <v>0</v>
      </c>
      <c r="M219" s="9">
        <v>0</v>
      </c>
      <c r="N219" s="13"/>
      <c r="O219" s="25" t="s">
        <v>259</v>
      </c>
      <c r="P219" s="5" t="s">
        <v>56</v>
      </c>
      <c r="Q219" s="12">
        <v>43752</v>
      </c>
      <c r="R219" s="12">
        <v>43738</v>
      </c>
      <c r="S219" s="18"/>
    </row>
    <row r="220" spans="1:19" ht="30" x14ac:dyDescent="0.25">
      <c r="A220" s="5">
        <v>2019</v>
      </c>
      <c r="B220" s="23">
        <v>43466</v>
      </c>
      <c r="C220" s="23">
        <v>43738</v>
      </c>
      <c r="D220" s="5">
        <v>1000</v>
      </c>
      <c r="E220" s="5" t="s">
        <v>105</v>
      </c>
      <c r="F220" s="5" t="s">
        <v>106</v>
      </c>
      <c r="G220" s="7" t="s">
        <v>107</v>
      </c>
      <c r="H220" s="8">
        <v>64975895</v>
      </c>
      <c r="I220" s="8">
        <v>64975895</v>
      </c>
      <c r="J220" s="9">
        <v>14683918.33</v>
      </c>
      <c r="K220" s="9">
        <v>41882133.229999997</v>
      </c>
      <c r="L220" s="9">
        <v>41882133.229999997</v>
      </c>
      <c r="M220" s="9">
        <v>41882133.229999997</v>
      </c>
      <c r="N220" s="13"/>
      <c r="O220" s="25" t="s">
        <v>259</v>
      </c>
      <c r="P220" s="5" t="s">
        <v>56</v>
      </c>
      <c r="Q220" s="12">
        <v>43752</v>
      </c>
      <c r="R220" s="12">
        <v>43738</v>
      </c>
      <c r="S220" s="18"/>
    </row>
    <row r="221" spans="1:19" ht="89.25" x14ac:dyDescent="0.25">
      <c r="A221" s="5">
        <v>2019</v>
      </c>
      <c r="B221" s="23">
        <v>43466</v>
      </c>
      <c r="C221" s="23">
        <v>43738</v>
      </c>
      <c r="D221" s="5">
        <v>2000</v>
      </c>
      <c r="E221" s="5" t="s">
        <v>108</v>
      </c>
      <c r="F221" s="5" t="s">
        <v>109</v>
      </c>
      <c r="G221" s="7" t="s">
        <v>110</v>
      </c>
      <c r="H221" s="8">
        <v>414090</v>
      </c>
      <c r="I221" s="9">
        <v>1924090</v>
      </c>
      <c r="J221" s="9">
        <v>199115.13</v>
      </c>
      <c r="K221" s="9">
        <v>135244.87</v>
      </c>
      <c r="L221" s="9">
        <v>135244.87</v>
      </c>
      <c r="M221" s="9">
        <v>135244.87</v>
      </c>
      <c r="N221" s="28" t="s">
        <v>111</v>
      </c>
      <c r="O221" s="25" t="s">
        <v>259</v>
      </c>
      <c r="P221" s="5" t="s">
        <v>56</v>
      </c>
      <c r="Q221" s="12">
        <v>43752</v>
      </c>
      <c r="R221" s="12">
        <v>43738</v>
      </c>
      <c r="S221" s="18"/>
    </row>
    <row r="222" spans="1:19" ht="30" x14ac:dyDescent="0.25">
      <c r="A222" s="5">
        <v>2019</v>
      </c>
      <c r="B222" s="23">
        <v>43466</v>
      </c>
      <c r="C222" s="23">
        <v>43738</v>
      </c>
      <c r="D222" s="5">
        <v>2000</v>
      </c>
      <c r="E222" s="5" t="s">
        <v>108</v>
      </c>
      <c r="F222" s="5" t="s">
        <v>112</v>
      </c>
      <c r="G222" s="7" t="s">
        <v>113</v>
      </c>
      <c r="H222" s="8">
        <v>42915</v>
      </c>
      <c r="I222" s="9">
        <v>42915</v>
      </c>
      <c r="J222" s="9">
        <v>0</v>
      </c>
      <c r="K222" s="9">
        <v>0</v>
      </c>
      <c r="L222" s="9">
        <v>0</v>
      </c>
      <c r="M222" s="9">
        <v>0</v>
      </c>
      <c r="N222" s="29"/>
      <c r="O222" s="25" t="s">
        <v>259</v>
      </c>
      <c r="P222" s="5" t="s">
        <v>56</v>
      </c>
      <c r="Q222" s="12">
        <v>43752</v>
      </c>
      <c r="R222" s="12">
        <v>43738</v>
      </c>
      <c r="S222" s="18"/>
    </row>
    <row r="223" spans="1:19" ht="30" x14ac:dyDescent="0.25">
      <c r="A223" s="5">
        <v>2019</v>
      </c>
      <c r="B223" s="23">
        <v>43466</v>
      </c>
      <c r="C223" s="23">
        <v>43738</v>
      </c>
      <c r="D223" s="5">
        <v>2000</v>
      </c>
      <c r="E223" s="5" t="s">
        <v>108</v>
      </c>
      <c r="F223" s="5" t="s">
        <v>114</v>
      </c>
      <c r="G223" s="7" t="s">
        <v>115</v>
      </c>
      <c r="H223" s="8">
        <v>150269</v>
      </c>
      <c r="I223" s="9">
        <v>1350269</v>
      </c>
      <c r="J223" s="9">
        <v>360031.52</v>
      </c>
      <c r="K223" s="9">
        <v>703258.12</v>
      </c>
      <c r="L223" s="9">
        <v>703258.12</v>
      </c>
      <c r="M223" s="9">
        <v>703258.12</v>
      </c>
      <c r="N223" s="29"/>
      <c r="O223" s="25" t="s">
        <v>259</v>
      </c>
      <c r="P223" s="5" t="s">
        <v>56</v>
      </c>
      <c r="Q223" s="12">
        <v>43752</v>
      </c>
      <c r="R223" s="12">
        <v>43738</v>
      </c>
      <c r="S223" s="18"/>
    </row>
    <row r="224" spans="1:19" ht="30" x14ac:dyDescent="0.25">
      <c r="A224" s="5">
        <v>2019</v>
      </c>
      <c r="B224" s="23">
        <v>43466</v>
      </c>
      <c r="C224" s="23">
        <v>43738</v>
      </c>
      <c r="D224" s="5">
        <v>2000</v>
      </c>
      <c r="E224" s="5" t="s">
        <v>108</v>
      </c>
      <c r="F224" s="5" t="s">
        <v>116</v>
      </c>
      <c r="G224" s="7" t="s">
        <v>117</v>
      </c>
      <c r="H224" s="8">
        <v>789706</v>
      </c>
      <c r="I224" s="9">
        <f>880053.43+606966.8</f>
        <v>1487020.23</v>
      </c>
      <c r="J224" s="9">
        <v>13490</v>
      </c>
      <c r="K224" s="9">
        <v>14510</v>
      </c>
      <c r="L224" s="9">
        <v>14510</v>
      </c>
      <c r="M224" s="9">
        <v>14510</v>
      </c>
      <c r="N224" s="29"/>
      <c r="O224" s="25" t="s">
        <v>259</v>
      </c>
      <c r="P224" s="5" t="s">
        <v>56</v>
      </c>
      <c r="Q224" s="12">
        <v>43752</v>
      </c>
      <c r="R224" s="12">
        <v>43738</v>
      </c>
      <c r="S224" s="18"/>
    </row>
    <row r="225" spans="1:19" ht="30" x14ac:dyDescent="0.25">
      <c r="A225" s="5">
        <v>2019</v>
      </c>
      <c r="B225" s="23">
        <v>43466</v>
      </c>
      <c r="C225" s="23">
        <v>43738</v>
      </c>
      <c r="D225" s="5">
        <v>2000</v>
      </c>
      <c r="E225" s="5" t="s">
        <v>118</v>
      </c>
      <c r="F225" s="5" t="s">
        <v>119</v>
      </c>
      <c r="G225" s="7" t="s">
        <v>120</v>
      </c>
      <c r="H225" s="8">
        <v>322989</v>
      </c>
      <c r="I225" s="9">
        <v>322989</v>
      </c>
      <c r="J225" s="9">
        <v>212301.26</v>
      </c>
      <c r="K225" s="9">
        <v>37698.74</v>
      </c>
      <c r="L225" s="9">
        <v>37698.74</v>
      </c>
      <c r="M225" s="9">
        <v>37698.74</v>
      </c>
      <c r="N225" s="29"/>
      <c r="O225" s="25" t="s">
        <v>259</v>
      </c>
      <c r="P225" s="5" t="s">
        <v>56</v>
      </c>
      <c r="Q225" s="12">
        <v>43752</v>
      </c>
      <c r="R225" s="12">
        <v>43738</v>
      </c>
      <c r="S225" s="18"/>
    </row>
    <row r="226" spans="1:19" ht="30" x14ac:dyDescent="0.25">
      <c r="A226" s="5">
        <v>2019</v>
      </c>
      <c r="B226" s="23">
        <v>43466</v>
      </c>
      <c r="C226" s="23">
        <v>43738</v>
      </c>
      <c r="D226" s="5">
        <v>2000</v>
      </c>
      <c r="E226" s="5" t="s">
        <v>121</v>
      </c>
      <c r="F226" s="5" t="s">
        <v>122</v>
      </c>
      <c r="G226" s="7" t="s">
        <v>123</v>
      </c>
      <c r="H226" s="8">
        <v>332837</v>
      </c>
      <c r="I226" s="9">
        <f>355164.2+77125.81</f>
        <v>432290.01</v>
      </c>
      <c r="J226" s="9">
        <v>0</v>
      </c>
      <c r="K226" s="9">
        <v>0</v>
      </c>
      <c r="L226" s="9">
        <v>0</v>
      </c>
      <c r="M226" s="9">
        <v>0</v>
      </c>
      <c r="N226" s="29"/>
      <c r="O226" s="25" t="s">
        <v>259</v>
      </c>
      <c r="P226" s="5" t="s">
        <v>56</v>
      </c>
      <c r="Q226" s="12">
        <v>43752</v>
      </c>
      <c r="R226" s="12">
        <v>43738</v>
      </c>
      <c r="S226" s="18"/>
    </row>
    <row r="227" spans="1:19" ht="30" x14ac:dyDescent="0.25">
      <c r="A227" s="5">
        <v>2019</v>
      </c>
      <c r="B227" s="23">
        <v>43466</v>
      </c>
      <c r="C227" s="23">
        <v>43738</v>
      </c>
      <c r="D227" s="5">
        <v>2000</v>
      </c>
      <c r="E227" s="5" t="s">
        <v>121</v>
      </c>
      <c r="F227" s="5">
        <v>2421</v>
      </c>
      <c r="G227" s="7" t="s">
        <v>124</v>
      </c>
      <c r="H227" s="8">
        <v>243028</v>
      </c>
      <c r="I227" s="9">
        <f>220524.27+62676.21</f>
        <v>283200.48</v>
      </c>
      <c r="J227" s="9">
        <v>0</v>
      </c>
      <c r="K227" s="9">
        <v>0</v>
      </c>
      <c r="L227" s="9">
        <v>0</v>
      </c>
      <c r="M227" s="9">
        <v>0</v>
      </c>
      <c r="N227" s="29"/>
      <c r="O227" s="25" t="s">
        <v>259</v>
      </c>
      <c r="P227" s="5" t="s">
        <v>56</v>
      </c>
      <c r="Q227" s="12">
        <v>43752</v>
      </c>
      <c r="R227" s="12">
        <v>43738</v>
      </c>
      <c r="S227" s="18"/>
    </row>
    <row r="228" spans="1:19" ht="30" x14ac:dyDescent="0.25">
      <c r="A228" s="5">
        <v>2019</v>
      </c>
      <c r="B228" s="23">
        <v>43466</v>
      </c>
      <c r="C228" s="23">
        <v>43738</v>
      </c>
      <c r="D228" s="5">
        <v>2000</v>
      </c>
      <c r="E228" s="5" t="s">
        <v>121</v>
      </c>
      <c r="F228" s="5">
        <v>2431</v>
      </c>
      <c r="G228" s="7" t="s">
        <v>125</v>
      </c>
      <c r="H228" s="8">
        <v>2970</v>
      </c>
      <c r="I228" s="9">
        <v>3692.82</v>
      </c>
      <c r="J228" s="9">
        <v>0</v>
      </c>
      <c r="K228" s="9">
        <v>0</v>
      </c>
      <c r="L228" s="9">
        <v>0</v>
      </c>
      <c r="M228" s="9">
        <v>0</v>
      </c>
      <c r="N228" s="30"/>
      <c r="O228" s="25" t="s">
        <v>259</v>
      </c>
      <c r="P228" s="5" t="s">
        <v>56</v>
      </c>
      <c r="Q228" s="12">
        <v>43752</v>
      </c>
      <c r="R228" s="12">
        <v>43738</v>
      </c>
      <c r="S228" s="18"/>
    </row>
    <row r="229" spans="1:19" ht="30" x14ac:dyDescent="0.25">
      <c r="A229" s="5">
        <v>2019</v>
      </c>
      <c r="B229" s="23">
        <v>43466</v>
      </c>
      <c r="C229" s="23">
        <v>43738</v>
      </c>
      <c r="D229" s="5">
        <v>2000</v>
      </c>
      <c r="E229" s="5" t="s">
        <v>121</v>
      </c>
      <c r="F229" s="5" t="s">
        <v>126</v>
      </c>
      <c r="G229" s="7" t="s">
        <v>127</v>
      </c>
      <c r="H229" s="8">
        <v>173212</v>
      </c>
      <c r="I229" s="9">
        <v>100406</v>
      </c>
      <c r="J229" s="9">
        <v>0</v>
      </c>
      <c r="K229" s="9">
        <v>0</v>
      </c>
      <c r="L229" s="9">
        <v>0</v>
      </c>
      <c r="M229" s="9">
        <v>0</v>
      </c>
      <c r="N229" s="31"/>
      <c r="O229" s="25" t="s">
        <v>259</v>
      </c>
      <c r="P229" s="5" t="s">
        <v>56</v>
      </c>
      <c r="Q229" s="12">
        <v>43752</v>
      </c>
      <c r="R229" s="12">
        <v>43738</v>
      </c>
      <c r="S229" s="18"/>
    </row>
    <row r="230" spans="1:19" ht="30" x14ac:dyDescent="0.25">
      <c r="A230" s="5">
        <v>2019</v>
      </c>
      <c r="B230" s="23">
        <v>43466</v>
      </c>
      <c r="C230" s="23">
        <v>43738</v>
      </c>
      <c r="D230" s="5">
        <v>2000</v>
      </c>
      <c r="E230" s="5" t="s">
        <v>121</v>
      </c>
      <c r="F230" s="5" t="s">
        <v>128</v>
      </c>
      <c r="G230" s="7" t="s">
        <v>129</v>
      </c>
      <c r="H230" s="8">
        <v>29386</v>
      </c>
      <c r="I230" s="9">
        <v>29386</v>
      </c>
      <c r="J230" s="9">
        <v>0</v>
      </c>
      <c r="K230" s="9">
        <v>0</v>
      </c>
      <c r="L230" s="9">
        <v>0</v>
      </c>
      <c r="M230" s="9">
        <v>0</v>
      </c>
      <c r="N230" s="13"/>
      <c r="O230" s="25" t="s">
        <v>259</v>
      </c>
      <c r="P230" s="5" t="s">
        <v>56</v>
      </c>
      <c r="Q230" s="12">
        <v>43752</v>
      </c>
      <c r="R230" s="12">
        <v>43738</v>
      </c>
      <c r="S230" s="18"/>
    </row>
    <row r="231" spans="1:19" ht="30" x14ac:dyDescent="0.25">
      <c r="A231" s="5">
        <v>2019</v>
      </c>
      <c r="B231" s="23">
        <v>43466</v>
      </c>
      <c r="C231" s="23">
        <v>43738</v>
      </c>
      <c r="D231" s="5">
        <v>2000</v>
      </c>
      <c r="E231" s="5" t="s">
        <v>121</v>
      </c>
      <c r="F231" s="5" t="s">
        <v>130</v>
      </c>
      <c r="G231" s="7" t="s">
        <v>131</v>
      </c>
      <c r="H231" s="8">
        <f>1117452+7637301</f>
        <v>8754753</v>
      </c>
      <c r="I231" s="9">
        <f>4054876.5+14034688.86</f>
        <v>18089565.359999999</v>
      </c>
      <c r="J231" s="9">
        <f>540223.24+3064376.64</f>
        <v>3604599.88</v>
      </c>
      <c r="K231" s="9">
        <f>355080.76+31598.4</f>
        <v>386679.16000000003</v>
      </c>
      <c r="L231" s="9">
        <f t="shared" ref="L231:M231" si="5">355080.76+31598.4</f>
        <v>386679.16000000003</v>
      </c>
      <c r="M231" s="9">
        <f t="shared" si="5"/>
        <v>386679.16000000003</v>
      </c>
      <c r="N231" s="13"/>
      <c r="O231" s="25" t="s">
        <v>259</v>
      </c>
      <c r="P231" s="5" t="s">
        <v>56</v>
      </c>
      <c r="Q231" s="12">
        <v>43752</v>
      </c>
      <c r="R231" s="12">
        <v>43738</v>
      </c>
      <c r="S231" s="18"/>
    </row>
    <row r="232" spans="1:19" ht="30" x14ac:dyDescent="0.25">
      <c r="A232" s="5">
        <v>2019</v>
      </c>
      <c r="B232" s="23">
        <v>43466</v>
      </c>
      <c r="C232" s="23">
        <v>43738</v>
      </c>
      <c r="D232" s="5">
        <v>2000</v>
      </c>
      <c r="E232" s="5" t="s">
        <v>121</v>
      </c>
      <c r="F232" s="5" t="s">
        <v>132</v>
      </c>
      <c r="G232" s="7" t="s">
        <v>133</v>
      </c>
      <c r="H232" s="8">
        <v>1622546</v>
      </c>
      <c r="I232" s="9">
        <f>1698494.38+141286.65</f>
        <v>1839781.0299999998</v>
      </c>
      <c r="J232" s="9">
        <v>160788.43</v>
      </c>
      <c r="K232" s="9">
        <v>56117.63</v>
      </c>
      <c r="L232" s="9">
        <v>56117.63</v>
      </c>
      <c r="M232" s="9">
        <v>56117.63</v>
      </c>
      <c r="N232" s="13"/>
      <c r="O232" s="25" t="s">
        <v>259</v>
      </c>
      <c r="P232" s="5" t="s">
        <v>56</v>
      </c>
      <c r="Q232" s="12">
        <v>43752</v>
      </c>
      <c r="R232" s="12">
        <v>43738</v>
      </c>
      <c r="S232" s="18"/>
    </row>
    <row r="233" spans="1:19" ht="30" x14ac:dyDescent="0.25">
      <c r="A233" s="5">
        <v>2019</v>
      </c>
      <c r="B233" s="23">
        <v>43466</v>
      </c>
      <c r="C233" s="23">
        <v>43738</v>
      </c>
      <c r="D233" s="5">
        <v>2000</v>
      </c>
      <c r="E233" s="5" t="s">
        <v>121</v>
      </c>
      <c r="F233" s="5">
        <v>2481</v>
      </c>
      <c r="G233" s="7" t="s">
        <v>134</v>
      </c>
      <c r="H233" s="8">
        <v>20906</v>
      </c>
      <c r="I233" s="9">
        <v>0</v>
      </c>
      <c r="J233" s="9">
        <v>0</v>
      </c>
      <c r="K233" s="9">
        <v>0</v>
      </c>
      <c r="L233" s="9">
        <v>0</v>
      </c>
      <c r="M233" s="9">
        <v>0</v>
      </c>
      <c r="N233" s="13"/>
      <c r="O233" s="25" t="s">
        <v>259</v>
      </c>
      <c r="P233" s="5" t="s">
        <v>56</v>
      </c>
      <c r="Q233" s="12">
        <v>43752</v>
      </c>
      <c r="R233" s="12">
        <v>43738</v>
      </c>
      <c r="S233" s="18"/>
    </row>
    <row r="234" spans="1:19" ht="30" x14ac:dyDescent="0.25">
      <c r="A234" s="5">
        <v>2019</v>
      </c>
      <c r="B234" s="23">
        <v>43466</v>
      </c>
      <c r="C234" s="23">
        <v>43738</v>
      </c>
      <c r="D234" s="5">
        <v>2000</v>
      </c>
      <c r="E234" s="5" t="s">
        <v>121</v>
      </c>
      <c r="F234" s="5" t="s">
        <v>135</v>
      </c>
      <c r="G234" s="7" t="s">
        <v>136</v>
      </c>
      <c r="H234" s="8">
        <v>1153462</v>
      </c>
      <c r="I234" s="9">
        <f>1428261.74+299333.78</f>
        <v>1727595.52</v>
      </c>
      <c r="J234" s="9">
        <v>111200.19</v>
      </c>
      <c r="K234" s="9">
        <v>90403.69</v>
      </c>
      <c r="L234" s="9">
        <v>90403.69</v>
      </c>
      <c r="M234" s="9">
        <v>90403.69</v>
      </c>
      <c r="N234" s="13"/>
      <c r="O234" s="25" t="s">
        <v>259</v>
      </c>
      <c r="P234" s="5" t="s">
        <v>56</v>
      </c>
      <c r="Q234" s="12">
        <v>43752</v>
      </c>
      <c r="R234" s="12">
        <v>43738</v>
      </c>
      <c r="S234" s="18"/>
    </row>
    <row r="235" spans="1:19" ht="30" x14ac:dyDescent="0.25">
      <c r="A235" s="5">
        <v>2019</v>
      </c>
      <c r="B235" s="23">
        <v>43466</v>
      </c>
      <c r="C235" s="23">
        <v>43738</v>
      </c>
      <c r="D235" s="5">
        <v>2000</v>
      </c>
      <c r="E235" s="5" t="s">
        <v>137</v>
      </c>
      <c r="F235" s="5" t="s">
        <v>138</v>
      </c>
      <c r="G235" s="7" t="s">
        <v>139</v>
      </c>
      <c r="H235" s="8">
        <v>37822</v>
      </c>
      <c r="I235" s="9">
        <f>20000+18641</f>
        <v>38641</v>
      </c>
      <c r="J235" s="9">
        <v>0</v>
      </c>
      <c r="K235" s="9">
        <v>0</v>
      </c>
      <c r="L235" s="9">
        <v>0</v>
      </c>
      <c r="M235" s="9">
        <v>0</v>
      </c>
      <c r="N235" s="13"/>
      <c r="O235" s="25" t="s">
        <v>259</v>
      </c>
      <c r="P235" s="5" t="s">
        <v>56</v>
      </c>
      <c r="Q235" s="12">
        <v>43752</v>
      </c>
      <c r="R235" s="12">
        <v>43738</v>
      </c>
      <c r="S235" s="18"/>
    </row>
    <row r="236" spans="1:19" ht="30" x14ac:dyDescent="0.25">
      <c r="A236" s="5">
        <v>2019</v>
      </c>
      <c r="B236" s="23">
        <v>43466</v>
      </c>
      <c r="C236" s="23">
        <v>43738</v>
      </c>
      <c r="D236" s="5">
        <v>2000</v>
      </c>
      <c r="E236" s="5" t="s">
        <v>137</v>
      </c>
      <c r="F236" s="5" t="s">
        <v>140</v>
      </c>
      <c r="G236" s="7" t="s">
        <v>141</v>
      </c>
      <c r="H236" s="8">
        <v>562839</v>
      </c>
      <c r="I236" s="9">
        <v>514757</v>
      </c>
      <c r="J236" s="9">
        <v>0</v>
      </c>
      <c r="K236" s="9">
        <v>0</v>
      </c>
      <c r="L236" s="9">
        <v>0</v>
      </c>
      <c r="M236" s="9">
        <v>0</v>
      </c>
      <c r="N236" s="13"/>
      <c r="O236" s="25" t="s">
        <v>259</v>
      </c>
      <c r="P236" s="5" t="s">
        <v>56</v>
      </c>
      <c r="Q236" s="12">
        <v>43752</v>
      </c>
      <c r="R236" s="12">
        <v>43738</v>
      </c>
      <c r="S236" s="18"/>
    </row>
    <row r="237" spans="1:19" ht="30" x14ac:dyDescent="0.25">
      <c r="A237" s="5">
        <v>2019</v>
      </c>
      <c r="B237" s="23">
        <v>43466</v>
      </c>
      <c r="C237" s="23">
        <v>43738</v>
      </c>
      <c r="D237" s="5">
        <v>2000</v>
      </c>
      <c r="E237" s="5" t="s">
        <v>137</v>
      </c>
      <c r="F237" s="5" t="s">
        <v>142</v>
      </c>
      <c r="G237" s="7" t="s">
        <v>143</v>
      </c>
      <c r="H237" s="8">
        <v>116347</v>
      </c>
      <c r="I237" s="9">
        <v>164429</v>
      </c>
      <c r="J237" s="9">
        <v>0</v>
      </c>
      <c r="K237" s="9">
        <v>42340</v>
      </c>
      <c r="L237" s="9">
        <v>42340</v>
      </c>
      <c r="M237" s="9">
        <v>42340</v>
      </c>
      <c r="N237" s="13"/>
      <c r="O237" s="25" t="s">
        <v>259</v>
      </c>
      <c r="P237" s="5" t="s">
        <v>56</v>
      </c>
      <c r="Q237" s="12">
        <v>43752</v>
      </c>
      <c r="R237" s="12">
        <v>43738</v>
      </c>
      <c r="S237" s="18"/>
    </row>
    <row r="238" spans="1:19" ht="30" x14ac:dyDescent="0.25">
      <c r="A238" s="5">
        <v>2019</v>
      </c>
      <c r="B238" s="23">
        <v>43466</v>
      </c>
      <c r="C238" s="23">
        <v>43738</v>
      </c>
      <c r="D238" s="5">
        <v>2000</v>
      </c>
      <c r="E238" s="5" t="s">
        <v>137</v>
      </c>
      <c r="F238" s="5" t="s">
        <v>144</v>
      </c>
      <c r="G238" s="7" t="s">
        <v>145</v>
      </c>
      <c r="H238" s="8">
        <v>403543</v>
      </c>
      <c r="I238" s="9">
        <v>432061.9</v>
      </c>
      <c r="J238" s="9">
        <v>0</v>
      </c>
      <c r="K238" s="9">
        <v>0</v>
      </c>
      <c r="L238" s="9">
        <v>0</v>
      </c>
      <c r="M238" s="9">
        <v>0</v>
      </c>
      <c r="N238" s="13"/>
      <c r="O238" s="25" t="s">
        <v>259</v>
      </c>
      <c r="P238" s="5" t="s">
        <v>56</v>
      </c>
      <c r="Q238" s="12">
        <v>43752</v>
      </c>
      <c r="R238" s="12">
        <v>43738</v>
      </c>
      <c r="S238" s="18"/>
    </row>
    <row r="239" spans="1:19" ht="30" x14ac:dyDescent="0.25">
      <c r="A239" s="5">
        <v>2019</v>
      </c>
      <c r="B239" s="23">
        <v>43466</v>
      </c>
      <c r="C239" s="23">
        <v>43738</v>
      </c>
      <c r="D239" s="5">
        <v>2000</v>
      </c>
      <c r="E239" s="5" t="s">
        <v>137</v>
      </c>
      <c r="F239" s="5" t="s">
        <v>146</v>
      </c>
      <c r="G239" s="7" t="s">
        <v>147</v>
      </c>
      <c r="H239" s="8">
        <v>199649</v>
      </c>
      <c r="I239" s="9">
        <f>245426.69+165074.12</f>
        <v>410500.81</v>
      </c>
      <c r="J239" s="9">
        <v>14679.94</v>
      </c>
      <c r="K239" s="9">
        <v>5320.06</v>
      </c>
      <c r="L239" s="9">
        <v>5320.06</v>
      </c>
      <c r="M239" s="9">
        <v>5320.06</v>
      </c>
      <c r="N239" s="13"/>
      <c r="O239" s="25" t="s">
        <v>259</v>
      </c>
      <c r="P239" s="5" t="s">
        <v>56</v>
      </c>
      <c r="Q239" s="12">
        <v>43752</v>
      </c>
      <c r="R239" s="12">
        <v>43738</v>
      </c>
      <c r="S239" s="18"/>
    </row>
    <row r="240" spans="1:19" ht="30" x14ac:dyDescent="0.25">
      <c r="A240" s="5">
        <v>2019</v>
      </c>
      <c r="B240" s="23">
        <v>43466</v>
      </c>
      <c r="C240" s="23">
        <v>43738</v>
      </c>
      <c r="D240" s="5">
        <v>2000</v>
      </c>
      <c r="E240" s="5" t="s">
        <v>148</v>
      </c>
      <c r="F240" s="5" t="s">
        <v>149</v>
      </c>
      <c r="G240" s="7" t="s">
        <v>150</v>
      </c>
      <c r="H240" s="8">
        <v>9199696</v>
      </c>
      <c r="I240" s="9">
        <f>7651054.52+559916.45</f>
        <v>8210970.9699999997</v>
      </c>
      <c r="J240" s="9">
        <v>1610547.34</v>
      </c>
      <c r="K240" s="9">
        <v>4106077.89</v>
      </c>
      <c r="L240" s="9">
        <v>4106077.89</v>
      </c>
      <c r="M240" s="9">
        <v>4106077.89</v>
      </c>
      <c r="N240" s="13"/>
      <c r="O240" s="25" t="s">
        <v>259</v>
      </c>
      <c r="P240" s="5" t="s">
        <v>56</v>
      </c>
      <c r="Q240" s="12">
        <v>43752</v>
      </c>
      <c r="R240" s="12">
        <v>43738</v>
      </c>
      <c r="S240" s="18"/>
    </row>
    <row r="241" spans="1:19" ht="30" x14ac:dyDescent="0.25">
      <c r="A241" s="5">
        <v>2019</v>
      </c>
      <c r="B241" s="23">
        <v>43466</v>
      </c>
      <c r="C241" s="23">
        <v>43738</v>
      </c>
      <c r="D241" s="5">
        <v>2000</v>
      </c>
      <c r="E241" s="5" t="s">
        <v>148</v>
      </c>
      <c r="F241" s="5" t="s">
        <v>151</v>
      </c>
      <c r="G241" s="7" t="s">
        <v>152</v>
      </c>
      <c r="H241" s="8">
        <v>20737</v>
      </c>
      <c r="I241" s="9">
        <v>40000</v>
      </c>
      <c r="J241" s="9">
        <v>20745.16</v>
      </c>
      <c r="K241" s="9">
        <v>19254.84</v>
      </c>
      <c r="L241" s="9">
        <v>19254.84</v>
      </c>
      <c r="M241" s="9">
        <v>19254.84</v>
      </c>
      <c r="N241" s="13"/>
      <c r="O241" s="25" t="s">
        <v>259</v>
      </c>
      <c r="P241" s="5" t="s">
        <v>56</v>
      </c>
      <c r="Q241" s="12">
        <v>43752</v>
      </c>
      <c r="R241" s="12">
        <v>43738</v>
      </c>
      <c r="S241" s="18"/>
    </row>
    <row r="242" spans="1:19" ht="30" x14ac:dyDescent="0.25">
      <c r="A242" s="5">
        <v>2019</v>
      </c>
      <c r="B242" s="23">
        <v>43466</v>
      </c>
      <c r="C242" s="23">
        <v>43738</v>
      </c>
      <c r="D242" s="5">
        <v>2000</v>
      </c>
      <c r="E242" s="5" t="s">
        <v>153</v>
      </c>
      <c r="F242" s="5" t="s">
        <v>154</v>
      </c>
      <c r="G242" s="7" t="s">
        <v>155</v>
      </c>
      <c r="H242" s="8">
        <f>12906315+3145213</f>
        <v>16051528</v>
      </c>
      <c r="I242" s="9">
        <f>12906315+3145213</f>
        <v>16051528</v>
      </c>
      <c r="J242" s="9">
        <v>0</v>
      </c>
      <c r="K242" s="9">
        <v>0</v>
      </c>
      <c r="L242" s="9">
        <v>0</v>
      </c>
      <c r="M242" s="9">
        <v>0</v>
      </c>
      <c r="N242" s="13"/>
      <c r="O242" s="25" t="s">
        <v>259</v>
      </c>
      <c r="P242" s="5" t="s">
        <v>56</v>
      </c>
      <c r="Q242" s="12">
        <v>43752</v>
      </c>
      <c r="R242" s="12">
        <v>43738</v>
      </c>
      <c r="S242" s="18"/>
    </row>
    <row r="243" spans="1:19" ht="30" x14ac:dyDescent="0.25">
      <c r="A243" s="5">
        <v>2019</v>
      </c>
      <c r="B243" s="23">
        <v>43466</v>
      </c>
      <c r="C243" s="23">
        <v>43738</v>
      </c>
      <c r="D243" s="5">
        <v>2000</v>
      </c>
      <c r="E243" s="5" t="s">
        <v>153</v>
      </c>
      <c r="F243" s="5" t="s">
        <v>156</v>
      </c>
      <c r="G243" s="7" t="s">
        <v>157</v>
      </c>
      <c r="H243" s="8">
        <v>8658853</v>
      </c>
      <c r="I243" s="9">
        <v>10715853</v>
      </c>
      <c r="J243" s="9">
        <v>0</v>
      </c>
      <c r="K243" s="9">
        <v>0</v>
      </c>
      <c r="L243" s="9">
        <v>0</v>
      </c>
      <c r="M243" s="9">
        <v>0</v>
      </c>
      <c r="N243" s="13"/>
      <c r="O243" s="25" t="s">
        <v>259</v>
      </c>
      <c r="P243" s="5" t="s">
        <v>56</v>
      </c>
      <c r="Q243" s="12">
        <v>43752</v>
      </c>
      <c r="R243" s="12">
        <v>43738</v>
      </c>
      <c r="S243" s="18"/>
    </row>
    <row r="244" spans="1:19" ht="30" x14ac:dyDescent="0.25">
      <c r="A244" s="5">
        <v>2019</v>
      </c>
      <c r="B244" s="23">
        <v>43466</v>
      </c>
      <c r="C244" s="23">
        <v>43738</v>
      </c>
      <c r="D244" s="5">
        <v>2000</v>
      </c>
      <c r="E244" s="5" t="s">
        <v>158</v>
      </c>
      <c r="F244" s="5" t="s">
        <v>159</v>
      </c>
      <c r="G244" s="7" t="s">
        <v>160</v>
      </c>
      <c r="H244" s="8">
        <v>959185</v>
      </c>
      <c r="I244" s="9">
        <f>1377747.55+362693.33</f>
        <v>1740440.8800000001</v>
      </c>
      <c r="J244" s="9">
        <v>130945.1</v>
      </c>
      <c r="K244" s="9">
        <v>99754.9</v>
      </c>
      <c r="L244" s="9">
        <v>99754.9</v>
      </c>
      <c r="M244" s="9">
        <v>99754.9</v>
      </c>
      <c r="N244" s="13"/>
      <c r="O244" s="25" t="s">
        <v>259</v>
      </c>
      <c r="P244" s="5" t="s">
        <v>56</v>
      </c>
      <c r="Q244" s="12">
        <v>43752</v>
      </c>
      <c r="R244" s="12">
        <v>43738</v>
      </c>
      <c r="S244" s="18"/>
    </row>
    <row r="245" spans="1:19" ht="30" x14ac:dyDescent="0.25">
      <c r="A245" s="5">
        <v>2019</v>
      </c>
      <c r="B245" s="23">
        <v>43466</v>
      </c>
      <c r="C245" s="23">
        <v>43738</v>
      </c>
      <c r="D245" s="5">
        <v>2000</v>
      </c>
      <c r="E245" s="5" t="s">
        <v>158</v>
      </c>
      <c r="F245" s="5" t="s">
        <v>161</v>
      </c>
      <c r="G245" s="7" t="s">
        <v>162</v>
      </c>
      <c r="H245" s="8">
        <v>5939</v>
      </c>
      <c r="I245" s="9">
        <v>33796.22</v>
      </c>
      <c r="J245" s="9">
        <v>425.05</v>
      </c>
      <c r="K245" s="9">
        <v>16969.95</v>
      </c>
      <c r="L245" s="9">
        <v>16969.95</v>
      </c>
      <c r="M245" s="9">
        <v>16969.95</v>
      </c>
      <c r="N245" s="13"/>
      <c r="O245" s="25" t="s">
        <v>259</v>
      </c>
      <c r="P245" s="5" t="s">
        <v>56</v>
      </c>
      <c r="Q245" s="12">
        <v>43752</v>
      </c>
      <c r="R245" s="12">
        <v>43738</v>
      </c>
      <c r="S245" s="18"/>
    </row>
    <row r="246" spans="1:19" ht="30" x14ac:dyDescent="0.25">
      <c r="A246" s="5">
        <v>2019</v>
      </c>
      <c r="B246" s="23">
        <v>43466</v>
      </c>
      <c r="C246" s="23">
        <v>43738</v>
      </c>
      <c r="D246" s="5">
        <v>2000</v>
      </c>
      <c r="E246" s="5" t="s">
        <v>158</v>
      </c>
      <c r="F246" s="5" t="s">
        <v>163</v>
      </c>
      <c r="G246" s="7" t="s">
        <v>164</v>
      </c>
      <c r="H246" s="8">
        <v>40203</v>
      </c>
      <c r="I246" s="9">
        <v>405758</v>
      </c>
      <c r="J246" s="9">
        <v>0</v>
      </c>
      <c r="K246" s="9">
        <v>53972.160000000003</v>
      </c>
      <c r="L246" s="9">
        <v>53972.160000000003</v>
      </c>
      <c r="M246" s="9">
        <v>53972.160000000003</v>
      </c>
      <c r="N246" s="13"/>
      <c r="O246" s="25" t="s">
        <v>259</v>
      </c>
      <c r="P246" s="5" t="s">
        <v>56</v>
      </c>
      <c r="Q246" s="12">
        <v>43752</v>
      </c>
      <c r="R246" s="12">
        <v>43738</v>
      </c>
      <c r="S246" s="18"/>
    </row>
    <row r="247" spans="1:19" ht="30" x14ac:dyDescent="0.25">
      <c r="A247" s="5">
        <v>2019</v>
      </c>
      <c r="B247" s="23">
        <v>43466</v>
      </c>
      <c r="C247" s="23">
        <v>43738</v>
      </c>
      <c r="D247" s="5">
        <v>2000</v>
      </c>
      <c r="E247" s="5" t="s">
        <v>158</v>
      </c>
      <c r="F247" s="5" t="s">
        <v>165</v>
      </c>
      <c r="G247" s="7" t="s">
        <v>166</v>
      </c>
      <c r="H247" s="8">
        <f>7880410+12239578</f>
        <v>20119988</v>
      </c>
      <c r="I247" s="9">
        <f>5146147.77+92568+21426243.59</f>
        <v>26664959.359999999</v>
      </c>
      <c r="J247" s="9">
        <f>413975.52+2536517.48</f>
        <v>2950493</v>
      </c>
      <c r="K247" s="9">
        <f>1187815.95+92568+7165347.84</f>
        <v>8445731.7899999991</v>
      </c>
      <c r="L247" s="9">
        <f t="shared" ref="L247:M247" si="6">1187815.95+92568+7165347.84</f>
        <v>8445731.7899999991</v>
      </c>
      <c r="M247" s="9">
        <f t="shared" si="6"/>
        <v>8445731.7899999991</v>
      </c>
      <c r="N247" s="13"/>
      <c r="O247" s="25" t="s">
        <v>259</v>
      </c>
      <c r="P247" s="5" t="s">
        <v>56</v>
      </c>
      <c r="Q247" s="12">
        <v>43752</v>
      </c>
      <c r="R247" s="12">
        <v>43738</v>
      </c>
      <c r="S247" s="18"/>
    </row>
    <row r="248" spans="1:19" ht="240" x14ac:dyDescent="0.25">
      <c r="A248" s="5">
        <v>2019</v>
      </c>
      <c r="B248" s="23">
        <v>43466</v>
      </c>
      <c r="C248" s="23">
        <v>43738</v>
      </c>
      <c r="D248" s="5">
        <v>3000</v>
      </c>
      <c r="E248" s="5" t="s">
        <v>167</v>
      </c>
      <c r="F248" s="5" t="s">
        <v>168</v>
      </c>
      <c r="G248" s="7" t="s">
        <v>169</v>
      </c>
      <c r="H248" s="8">
        <f>25201151+65438736</f>
        <v>90639887</v>
      </c>
      <c r="I248" s="9">
        <f>25201151+36747811.96+32650766</f>
        <v>94599728.960000008</v>
      </c>
      <c r="J248" s="9">
        <f>483260+13122501.96+15304821</f>
        <v>28910582.960000001</v>
      </c>
      <c r="K248" s="9">
        <f>24717891+7196310+17345945</f>
        <v>49260146</v>
      </c>
      <c r="L248" s="9">
        <f t="shared" ref="L248:M248" si="7">24717891+7196310+17345945</f>
        <v>49260146</v>
      </c>
      <c r="M248" s="9">
        <f t="shared" si="7"/>
        <v>49260146</v>
      </c>
      <c r="N248" s="32" t="s">
        <v>260</v>
      </c>
      <c r="O248" s="25" t="s">
        <v>259</v>
      </c>
      <c r="P248" s="5" t="s">
        <v>56</v>
      </c>
      <c r="Q248" s="12">
        <v>43752</v>
      </c>
      <c r="R248" s="12">
        <v>43738</v>
      </c>
      <c r="S248" s="18"/>
    </row>
    <row r="249" spans="1:19" ht="30" x14ac:dyDescent="0.25">
      <c r="A249" s="5">
        <v>2019</v>
      </c>
      <c r="B249" s="23">
        <v>43466</v>
      </c>
      <c r="C249" s="23">
        <v>43738</v>
      </c>
      <c r="D249" s="5">
        <v>3000</v>
      </c>
      <c r="E249" s="5" t="s">
        <v>167</v>
      </c>
      <c r="F249" s="5" t="s">
        <v>171</v>
      </c>
      <c r="G249" s="7" t="s">
        <v>172</v>
      </c>
      <c r="H249" s="8">
        <v>1190002</v>
      </c>
      <c r="I249" s="9">
        <v>1190002</v>
      </c>
      <c r="J249" s="9">
        <v>361835.94</v>
      </c>
      <c r="K249" s="9">
        <v>828166.06</v>
      </c>
      <c r="L249" s="9">
        <v>828166.06</v>
      </c>
      <c r="M249" s="9">
        <v>828166.06</v>
      </c>
      <c r="N249" s="33"/>
      <c r="O249" s="25" t="s">
        <v>259</v>
      </c>
      <c r="P249" s="5" t="s">
        <v>56</v>
      </c>
      <c r="Q249" s="12">
        <v>43752</v>
      </c>
      <c r="R249" s="12">
        <v>43738</v>
      </c>
      <c r="S249" s="18"/>
    </row>
    <row r="250" spans="1:19" ht="30" x14ac:dyDescent="0.25">
      <c r="A250" s="5">
        <v>2019</v>
      </c>
      <c r="B250" s="23">
        <v>43466</v>
      </c>
      <c r="C250" s="23">
        <v>43738</v>
      </c>
      <c r="D250" s="5">
        <v>3000</v>
      </c>
      <c r="E250" s="5" t="s">
        <v>167</v>
      </c>
      <c r="F250" s="5" t="s">
        <v>173</v>
      </c>
      <c r="G250" s="7" t="s">
        <v>174</v>
      </c>
      <c r="H250" s="8">
        <v>3159905</v>
      </c>
      <c r="I250" s="9">
        <v>3159905</v>
      </c>
      <c r="J250" s="9">
        <v>1334977</v>
      </c>
      <c r="K250" s="9">
        <v>1765023</v>
      </c>
      <c r="L250" s="9">
        <v>1765023</v>
      </c>
      <c r="M250" s="9">
        <v>1765023</v>
      </c>
      <c r="N250" s="33"/>
      <c r="O250" s="25" t="s">
        <v>259</v>
      </c>
      <c r="P250" s="5" t="s">
        <v>56</v>
      </c>
      <c r="Q250" s="12">
        <v>43752</v>
      </c>
      <c r="R250" s="12">
        <v>43738</v>
      </c>
      <c r="S250" s="18"/>
    </row>
    <row r="251" spans="1:19" ht="30" x14ac:dyDescent="0.25">
      <c r="A251" s="5">
        <v>2019</v>
      </c>
      <c r="B251" s="23">
        <v>43466</v>
      </c>
      <c r="C251" s="23">
        <v>43738</v>
      </c>
      <c r="D251" s="5">
        <v>3000</v>
      </c>
      <c r="E251" s="5" t="s">
        <v>167</v>
      </c>
      <c r="F251" s="5" t="s">
        <v>175</v>
      </c>
      <c r="G251" s="7" t="s">
        <v>176</v>
      </c>
      <c r="H251" s="8">
        <v>416308</v>
      </c>
      <c r="I251" s="9">
        <v>416308</v>
      </c>
      <c r="J251" s="9">
        <v>267000.03999999998</v>
      </c>
      <c r="K251" s="9">
        <v>146307.95000000001</v>
      </c>
      <c r="L251" s="9">
        <v>146307.95000000001</v>
      </c>
      <c r="M251" s="9">
        <v>146307.95000000001</v>
      </c>
      <c r="N251" s="33"/>
      <c r="O251" s="25" t="s">
        <v>259</v>
      </c>
      <c r="P251" s="5" t="s">
        <v>56</v>
      </c>
      <c r="Q251" s="12">
        <v>43752</v>
      </c>
      <c r="R251" s="12">
        <v>43738</v>
      </c>
      <c r="S251" s="18"/>
    </row>
    <row r="252" spans="1:19" ht="30" x14ac:dyDescent="0.25">
      <c r="A252" s="5">
        <v>2019</v>
      </c>
      <c r="B252" s="23">
        <v>43466</v>
      </c>
      <c r="C252" s="23">
        <v>43738</v>
      </c>
      <c r="D252" s="5">
        <v>3000</v>
      </c>
      <c r="E252" s="5" t="s">
        <v>167</v>
      </c>
      <c r="F252" s="5" t="s">
        <v>177</v>
      </c>
      <c r="G252" s="7" t="s">
        <v>178</v>
      </c>
      <c r="H252" s="8">
        <v>715000</v>
      </c>
      <c r="I252" s="9">
        <v>715000</v>
      </c>
      <c r="J252" s="9">
        <v>343515.57</v>
      </c>
      <c r="K252" s="9">
        <v>371484.43</v>
      </c>
      <c r="L252" s="9">
        <v>371484.43</v>
      </c>
      <c r="M252" s="9">
        <v>371484.43</v>
      </c>
      <c r="N252" s="33"/>
      <c r="O252" s="25" t="s">
        <v>259</v>
      </c>
      <c r="P252" s="5" t="s">
        <v>56</v>
      </c>
      <c r="Q252" s="12">
        <v>43752</v>
      </c>
      <c r="R252" s="12">
        <v>43738</v>
      </c>
      <c r="S252" s="18"/>
    </row>
    <row r="253" spans="1:19" ht="30" x14ac:dyDescent="0.25">
      <c r="A253" s="5">
        <v>2019</v>
      </c>
      <c r="B253" s="23">
        <v>43466</v>
      </c>
      <c r="C253" s="23">
        <v>43738</v>
      </c>
      <c r="D253" s="5">
        <v>3000</v>
      </c>
      <c r="E253" s="5" t="s">
        <v>167</v>
      </c>
      <c r="F253" s="5" t="s">
        <v>179</v>
      </c>
      <c r="G253" s="7" t="s">
        <v>180</v>
      </c>
      <c r="H253" s="8">
        <v>1286489</v>
      </c>
      <c r="I253" s="9">
        <v>1467456</v>
      </c>
      <c r="J253" s="9">
        <v>0</v>
      </c>
      <c r="K253" s="9">
        <v>1467456</v>
      </c>
      <c r="L253" s="9">
        <v>1467456</v>
      </c>
      <c r="M253" s="9">
        <v>1467456</v>
      </c>
      <c r="N253" s="33"/>
      <c r="O253" s="25" t="s">
        <v>259</v>
      </c>
      <c r="P253" s="5" t="s">
        <v>56</v>
      </c>
      <c r="Q253" s="12">
        <v>43752</v>
      </c>
      <c r="R253" s="12">
        <v>43738</v>
      </c>
      <c r="S253" s="18"/>
    </row>
    <row r="254" spans="1:19" ht="30" x14ac:dyDescent="0.25">
      <c r="A254" s="5">
        <v>2019</v>
      </c>
      <c r="B254" s="23">
        <v>43466</v>
      </c>
      <c r="C254" s="23">
        <v>43738</v>
      </c>
      <c r="D254" s="5">
        <v>3000</v>
      </c>
      <c r="E254" s="5" t="s">
        <v>167</v>
      </c>
      <c r="F254" s="5" t="s">
        <v>181</v>
      </c>
      <c r="G254" s="7" t="s">
        <v>182</v>
      </c>
      <c r="H254" s="8">
        <v>87813</v>
      </c>
      <c r="I254" s="9">
        <v>87813</v>
      </c>
      <c r="J254" s="9">
        <v>32418.560000000001</v>
      </c>
      <c r="K254" s="9">
        <v>55394.44</v>
      </c>
      <c r="L254" s="9">
        <v>55394.44</v>
      </c>
      <c r="M254" s="9">
        <v>55394.44</v>
      </c>
      <c r="N254" s="33"/>
      <c r="O254" s="25" t="s">
        <v>259</v>
      </c>
      <c r="P254" s="5" t="s">
        <v>56</v>
      </c>
      <c r="Q254" s="12">
        <v>43752</v>
      </c>
      <c r="R254" s="12">
        <v>43738</v>
      </c>
      <c r="S254" s="18"/>
    </row>
    <row r="255" spans="1:19" ht="30" x14ac:dyDescent="0.25">
      <c r="A255" s="5">
        <v>2019</v>
      </c>
      <c r="B255" s="23">
        <v>43466</v>
      </c>
      <c r="C255" s="23">
        <v>43738</v>
      </c>
      <c r="D255" s="5">
        <v>3000</v>
      </c>
      <c r="E255" s="5" t="s">
        <v>167</v>
      </c>
      <c r="F255" s="5">
        <v>3181</v>
      </c>
      <c r="G255" s="7" t="s">
        <v>183</v>
      </c>
      <c r="H255" s="8">
        <v>0</v>
      </c>
      <c r="I255" s="9">
        <v>500</v>
      </c>
      <c r="J255" s="9">
        <v>0</v>
      </c>
      <c r="K255" s="9">
        <v>498.08</v>
      </c>
      <c r="L255" s="9">
        <v>498.08</v>
      </c>
      <c r="M255" s="9">
        <v>498.08</v>
      </c>
      <c r="N255" s="33"/>
      <c r="O255" s="25" t="s">
        <v>259</v>
      </c>
      <c r="P255" s="5" t="s">
        <v>56</v>
      </c>
      <c r="Q255" s="12">
        <v>43752</v>
      </c>
      <c r="R255" s="12">
        <v>43738</v>
      </c>
      <c r="S255" s="18"/>
    </row>
    <row r="256" spans="1:19" ht="30" x14ac:dyDescent="0.25">
      <c r="A256" s="5">
        <v>2019</v>
      </c>
      <c r="B256" s="23">
        <v>43466</v>
      </c>
      <c r="C256" s="23">
        <v>43738</v>
      </c>
      <c r="D256" s="5">
        <v>3000</v>
      </c>
      <c r="E256" s="5" t="s">
        <v>167</v>
      </c>
      <c r="F256" s="5" t="s">
        <v>184</v>
      </c>
      <c r="G256" s="7" t="s">
        <v>185</v>
      </c>
      <c r="H256" s="8">
        <v>870000</v>
      </c>
      <c r="I256" s="9">
        <v>870000</v>
      </c>
      <c r="J256" s="9">
        <v>440290.08</v>
      </c>
      <c r="K256" s="9">
        <v>429709.92</v>
      </c>
      <c r="L256" s="9">
        <v>429709.92</v>
      </c>
      <c r="M256" s="9">
        <v>429709.92</v>
      </c>
      <c r="N256" s="33"/>
      <c r="O256" s="25" t="s">
        <v>259</v>
      </c>
      <c r="P256" s="5" t="s">
        <v>56</v>
      </c>
      <c r="Q256" s="12">
        <v>43752</v>
      </c>
      <c r="R256" s="12">
        <v>43738</v>
      </c>
      <c r="S256" s="18"/>
    </row>
    <row r="257" spans="1:19" ht="30" x14ac:dyDescent="0.25">
      <c r="A257" s="5">
        <v>2019</v>
      </c>
      <c r="B257" s="23">
        <v>43466</v>
      </c>
      <c r="C257" s="23">
        <v>43738</v>
      </c>
      <c r="D257" s="5">
        <v>3000</v>
      </c>
      <c r="E257" s="5" t="s">
        <v>186</v>
      </c>
      <c r="F257" s="5" t="s">
        <v>187</v>
      </c>
      <c r="G257" s="7" t="s">
        <v>188</v>
      </c>
      <c r="H257" s="8">
        <v>112797064</v>
      </c>
      <c r="I257" s="8">
        <v>78409288.769999996</v>
      </c>
      <c r="J257" s="9">
        <v>0</v>
      </c>
      <c r="K257" s="9">
        <v>30259537.280000001</v>
      </c>
      <c r="L257" s="9">
        <v>30259537.280000001</v>
      </c>
      <c r="M257" s="9">
        <v>30259537.280000001</v>
      </c>
      <c r="N257" s="34"/>
      <c r="O257" s="25" t="s">
        <v>259</v>
      </c>
      <c r="P257" s="5" t="s">
        <v>56</v>
      </c>
      <c r="Q257" s="12">
        <v>43752</v>
      </c>
      <c r="R257" s="12">
        <v>43738</v>
      </c>
      <c r="S257" s="18"/>
    </row>
    <row r="258" spans="1:19" ht="30" x14ac:dyDescent="0.25">
      <c r="A258" s="5">
        <v>2019</v>
      </c>
      <c r="B258" s="23">
        <v>43466</v>
      </c>
      <c r="C258" s="23">
        <v>43738</v>
      </c>
      <c r="D258" s="5">
        <v>3000</v>
      </c>
      <c r="E258" s="5" t="s">
        <v>186</v>
      </c>
      <c r="F258" s="5" t="s">
        <v>189</v>
      </c>
      <c r="G258" s="7" t="s">
        <v>190</v>
      </c>
      <c r="H258" s="8">
        <v>2341262</v>
      </c>
      <c r="I258" s="8">
        <v>2341262</v>
      </c>
      <c r="J258" s="17">
        <v>0</v>
      </c>
      <c r="K258" s="17">
        <v>0</v>
      </c>
      <c r="L258" s="17">
        <v>0</v>
      </c>
      <c r="M258" s="17">
        <v>0</v>
      </c>
      <c r="N258" s="16"/>
      <c r="O258" s="25" t="s">
        <v>259</v>
      </c>
      <c r="P258" s="5" t="s">
        <v>56</v>
      </c>
      <c r="Q258" s="12">
        <v>43752</v>
      </c>
      <c r="R258" s="12">
        <v>43738</v>
      </c>
      <c r="S258" s="18"/>
    </row>
    <row r="259" spans="1:19" ht="30" x14ac:dyDescent="0.25">
      <c r="A259" s="5">
        <v>2019</v>
      </c>
      <c r="B259" s="23">
        <v>43466</v>
      </c>
      <c r="C259" s="23">
        <v>43738</v>
      </c>
      <c r="D259" s="5">
        <v>3000</v>
      </c>
      <c r="E259" s="5" t="s">
        <v>186</v>
      </c>
      <c r="F259" s="5" t="s">
        <v>191</v>
      </c>
      <c r="G259" s="7" t="s">
        <v>192</v>
      </c>
      <c r="H259" s="8">
        <v>259777</v>
      </c>
      <c r="I259" s="8">
        <v>259777</v>
      </c>
      <c r="J259" s="17">
        <v>106847.14</v>
      </c>
      <c r="K259" s="17">
        <v>152929.85</v>
      </c>
      <c r="L259" s="17">
        <v>152929.85</v>
      </c>
      <c r="M259" s="17">
        <v>152929.85</v>
      </c>
      <c r="N259" s="16"/>
      <c r="O259" s="25" t="s">
        <v>259</v>
      </c>
      <c r="P259" s="5" t="s">
        <v>56</v>
      </c>
      <c r="Q259" s="12">
        <v>43752</v>
      </c>
      <c r="R259" s="12">
        <v>43738</v>
      </c>
      <c r="S259" s="18"/>
    </row>
    <row r="260" spans="1:19" ht="30" x14ac:dyDescent="0.25">
      <c r="A260" s="5">
        <v>2019</v>
      </c>
      <c r="B260" s="23">
        <v>43466</v>
      </c>
      <c r="C260" s="23">
        <v>43738</v>
      </c>
      <c r="D260" s="5">
        <v>3000</v>
      </c>
      <c r="E260" s="5" t="s">
        <v>193</v>
      </c>
      <c r="F260" s="5" t="s">
        <v>194</v>
      </c>
      <c r="G260" s="7" t="s">
        <v>195</v>
      </c>
      <c r="H260" s="8">
        <v>253278</v>
      </c>
      <c r="I260" s="17">
        <v>600000</v>
      </c>
      <c r="J260" s="17">
        <v>0</v>
      </c>
      <c r="K260" s="17">
        <v>250000</v>
      </c>
      <c r="L260" s="17">
        <v>250000</v>
      </c>
      <c r="M260" s="17">
        <v>250000</v>
      </c>
      <c r="N260" s="16"/>
      <c r="O260" s="25" t="s">
        <v>259</v>
      </c>
      <c r="P260" s="5" t="s">
        <v>56</v>
      </c>
      <c r="Q260" s="12">
        <v>43752</v>
      </c>
      <c r="R260" s="12">
        <v>43738</v>
      </c>
      <c r="S260" s="18"/>
    </row>
    <row r="261" spans="1:19" ht="30" x14ac:dyDescent="0.25">
      <c r="A261" s="5">
        <v>2019</v>
      </c>
      <c r="B261" s="23">
        <v>43466</v>
      </c>
      <c r="C261" s="23">
        <v>43738</v>
      </c>
      <c r="D261" s="5">
        <v>3000</v>
      </c>
      <c r="E261" s="5" t="s">
        <v>193</v>
      </c>
      <c r="F261" s="5" t="s">
        <v>196</v>
      </c>
      <c r="G261" s="7" t="s">
        <v>197</v>
      </c>
      <c r="H261" s="8">
        <v>562839</v>
      </c>
      <c r="I261" s="17">
        <v>75439</v>
      </c>
      <c r="J261" s="17">
        <v>0</v>
      </c>
      <c r="K261" s="17">
        <v>0</v>
      </c>
      <c r="L261" s="17">
        <v>0</v>
      </c>
      <c r="M261" s="17">
        <v>0</v>
      </c>
      <c r="N261" s="16"/>
      <c r="O261" s="25" t="s">
        <v>259</v>
      </c>
      <c r="P261" s="5" t="s">
        <v>56</v>
      </c>
      <c r="Q261" s="12">
        <v>43752</v>
      </c>
      <c r="R261" s="12">
        <v>43738</v>
      </c>
      <c r="S261" s="18"/>
    </row>
    <row r="262" spans="1:19" ht="30" x14ac:dyDescent="0.25">
      <c r="A262" s="5">
        <v>2019</v>
      </c>
      <c r="B262" s="23">
        <v>43466</v>
      </c>
      <c r="C262" s="23">
        <v>43738</v>
      </c>
      <c r="D262" s="5">
        <v>3000</v>
      </c>
      <c r="E262" s="5" t="s">
        <v>193</v>
      </c>
      <c r="F262" s="5" t="s">
        <v>198</v>
      </c>
      <c r="G262" s="7" t="s">
        <v>199</v>
      </c>
      <c r="H262" s="8">
        <v>2199092</v>
      </c>
      <c r="I262" s="17">
        <v>2338937</v>
      </c>
      <c r="J262" s="17">
        <v>583348.4</v>
      </c>
      <c r="K262" s="17">
        <v>198915.88</v>
      </c>
      <c r="L262" s="17">
        <v>198915.88</v>
      </c>
      <c r="M262" s="17">
        <v>198915.88</v>
      </c>
      <c r="N262" s="16"/>
      <c r="O262" s="25" t="s">
        <v>259</v>
      </c>
      <c r="P262" s="5" t="s">
        <v>56</v>
      </c>
      <c r="Q262" s="12">
        <v>43752</v>
      </c>
      <c r="R262" s="12">
        <v>43738</v>
      </c>
      <c r="S262" s="18"/>
    </row>
    <row r="263" spans="1:19" ht="30" x14ac:dyDescent="0.25">
      <c r="A263" s="5">
        <v>2019</v>
      </c>
      <c r="B263" s="23">
        <v>43466</v>
      </c>
      <c r="C263" s="23">
        <v>43738</v>
      </c>
      <c r="D263" s="5">
        <v>3000</v>
      </c>
      <c r="E263" s="5" t="s">
        <v>193</v>
      </c>
      <c r="F263" s="5" t="s">
        <v>200</v>
      </c>
      <c r="G263" s="7" t="s">
        <v>201</v>
      </c>
      <c r="H263" s="8">
        <v>107987</v>
      </c>
      <c r="I263" s="17">
        <v>107987</v>
      </c>
      <c r="J263" s="17">
        <v>43875.4</v>
      </c>
      <c r="K263" s="17">
        <v>33273.08</v>
      </c>
      <c r="L263" s="17">
        <v>33273.08</v>
      </c>
      <c r="M263" s="17">
        <v>33273.08</v>
      </c>
      <c r="N263" s="16"/>
      <c r="O263" s="25" t="s">
        <v>259</v>
      </c>
      <c r="P263" s="5" t="s">
        <v>56</v>
      </c>
      <c r="Q263" s="12">
        <v>43752</v>
      </c>
      <c r="R263" s="12">
        <v>43738</v>
      </c>
      <c r="S263" s="18"/>
    </row>
    <row r="264" spans="1:19" ht="30" x14ac:dyDescent="0.25">
      <c r="A264" s="5">
        <v>2019</v>
      </c>
      <c r="B264" s="23">
        <v>43466</v>
      </c>
      <c r="C264" s="23">
        <v>43738</v>
      </c>
      <c r="D264" s="5">
        <v>3000</v>
      </c>
      <c r="E264" s="5" t="s">
        <v>193</v>
      </c>
      <c r="F264" s="5" t="s">
        <v>202</v>
      </c>
      <c r="G264" s="7" t="s">
        <v>203</v>
      </c>
      <c r="H264" s="8">
        <v>5029367</v>
      </c>
      <c r="I264" s="17">
        <f>5624222.01+2500000</f>
        <v>8124222.0099999998</v>
      </c>
      <c r="J264" s="17">
        <v>2732849.74</v>
      </c>
      <c r="K264" s="17">
        <v>1883598.26</v>
      </c>
      <c r="L264" s="17">
        <v>1883598.26</v>
      </c>
      <c r="M264" s="17">
        <v>1883598.26</v>
      </c>
      <c r="N264" s="16"/>
      <c r="O264" s="25" t="s">
        <v>259</v>
      </c>
      <c r="P264" s="5" t="s">
        <v>56</v>
      </c>
      <c r="Q264" s="12">
        <v>43752</v>
      </c>
      <c r="R264" s="12">
        <v>43738</v>
      </c>
      <c r="S264" s="18"/>
    </row>
    <row r="265" spans="1:19" ht="30" x14ac:dyDescent="0.25">
      <c r="A265" s="5">
        <v>2019</v>
      </c>
      <c r="B265" s="23">
        <v>43466</v>
      </c>
      <c r="C265" s="23">
        <v>43738</v>
      </c>
      <c r="D265" s="5">
        <v>3000</v>
      </c>
      <c r="E265" s="5">
        <v>3300</v>
      </c>
      <c r="F265" s="5">
        <v>3371</v>
      </c>
      <c r="G265" s="7" t="s">
        <v>261</v>
      </c>
      <c r="H265" s="8">
        <v>0</v>
      </c>
      <c r="I265" s="17">
        <v>3000000</v>
      </c>
      <c r="J265" s="17">
        <v>0</v>
      </c>
      <c r="K265" s="17">
        <v>0</v>
      </c>
      <c r="L265" s="17">
        <v>0</v>
      </c>
      <c r="M265" s="17">
        <v>0</v>
      </c>
      <c r="N265" s="16"/>
      <c r="O265" s="25" t="s">
        <v>259</v>
      </c>
      <c r="P265" s="5" t="s">
        <v>56</v>
      </c>
      <c r="Q265" s="12">
        <v>43752</v>
      </c>
      <c r="R265" s="12">
        <v>43738</v>
      </c>
      <c r="S265" s="18"/>
    </row>
    <row r="266" spans="1:19" ht="30" x14ac:dyDescent="0.25">
      <c r="A266" s="5">
        <v>2019</v>
      </c>
      <c r="B266" s="23">
        <v>43466</v>
      </c>
      <c r="C266" s="23">
        <v>43738</v>
      </c>
      <c r="D266" s="5">
        <v>3000</v>
      </c>
      <c r="E266" s="5" t="s">
        <v>193</v>
      </c>
      <c r="F266" s="5">
        <v>3391</v>
      </c>
      <c r="G266" s="7" t="s">
        <v>204</v>
      </c>
      <c r="H266" s="8">
        <v>147987</v>
      </c>
      <c r="I266" s="17">
        <f>266586.99+11000000</f>
        <v>11266586.99</v>
      </c>
      <c r="J266" s="17">
        <f>91930+5455645.75</f>
        <v>5547575.75</v>
      </c>
      <c r="K266" s="17">
        <v>4399714.32</v>
      </c>
      <c r="L266" s="17">
        <v>4399714.32</v>
      </c>
      <c r="M266" s="17">
        <v>4399714.32</v>
      </c>
      <c r="N266" s="16"/>
      <c r="O266" s="25" t="s">
        <v>259</v>
      </c>
      <c r="P266" s="5" t="s">
        <v>56</v>
      </c>
      <c r="Q266" s="12">
        <v>43752</v>
      </c>
      <c r="R266" s="12">
        <v>43738</v>
      </c>
      <c r="S266" s="18"/>
    </row>
    <row r="267" spans="1:19" ht="30" x14ac:dyDescent="0.25">
      <c r="A267" s="5">
        <v>2019</v>
      </c>
      <c r="B267" s="23">
        <v>43466</v>
      </c>
      <c r="C267" s="23">
        <v>43738</v>
      </c>
      <c r="D267" s="5">
        <v>3000</v>
      </c>
      <c r="E267" s="5" t="s">
        <v>205</v>
      </c>
      <c r="F267" s="5" t="s">
        <v>206</v>
      </c>
      <c r="G267" s="7" t="s">
        <v>207</v>
      </c>
      <c r="H267" s="8">
        <v>1226615</v>
      </c>
      <c r="I267" s="17">
        <v>1226615</v>
      </c>
      <c r="J267" s="17">
        <v>64553.34</v>
      </c>
      <c r="K267" s="17">
        <v>343146.66</v>
      </c>
      <c r="L267" s="17">
        <v>343146.66</v>
      </c>
      <c r="M267" s="17">
        <v>343146.66</v>
      </c>
      <c r="N267" s="16"/>
      <c r="O267" s="25" t="s">
        <v>259</v>
      </c>
      <c r="P267" s="5" t="s">
        <v>56</v>
      </c>
      <c r="Q267" s="12">
        <v>43752</v>
      </c>
      <c r="R267" s="12">
        <v>43738</v>
      </c>
      <c r="S267" s="18"/>
    </row>
    <row r="268" spans="1:19" ht="30" x14ac:dyDescent="0.25">
      <c r="A268" s="5">
        <v>2019</v>
      </c>
      <c r="B268" s="23">
        <v>43466</v>
      </c>
      <c r="C268" s="23">
        <v>43738</v>
      </c>
      <c r="D268" s="5">
        <v>3000</v>
      </c>
      <c r="E268" s="5" t="s">
        <v>205</v>
      </c>
      <c r="F268" s="5" t="s">
        <v>208</v>
      </c>
      <c r="G268" s="7" t="s">
        <v>209</v>
      </c>
      <c r="H268" s="8">
        <v>2508727</v>
      </c>
      <c r="I268" s="17">
        <v>2508727</v>
      </c>
      <c r="J268" s="17">
        <v>1758823.85</v>
      </c>
      <c r="K268" s="17">
        <v>732102.15</v>
      </c>
      <c r="L268" s="17">
        <v>732102.15</v>
      </c>
      <c r="M268" s="17">
        <v>732102.15</v>
      </c>
      <c r="N268" s="16"/>
      <c r="O268" s="25" t="s">
        <v>259</v>
      </c>
      <c r="P268" s="5" t="s">
        <v>56</v>
      </c>
      <c r="Q268" s="12">
        <v>43752</v>
      </c>
      <c r="R268" s="12">
        <v>43738</v>
      </c>
      <c r="S268" s="18"/>
    </row>
    <row r="269" spans="1:19" ht="30" x14ac:dyDescent="0.25">
      <c r="A269" s="5">
        <v>2019</v>
      </c>
      <c r="B269" s="23">
        <v>43466</v>
      </c>
      <c r="C269" s="23">
        <v>43738</v>
      </c>
      <c r="D269" s="5">
        <v>3000</v>
      </c>
      <c r="E269" s="5" t="s">
        <v>205</v>
      </c>
      <c r="F269" s="5" t="s">
        <v>210</v>
      </c>
      <c r="G269" s="7" t="s">
        <v>211</v>
      </c>
      <c r="H269" s="8">
        <f>15500000+141141165+13252671</f>
        <v>169893836</v>
      </c>
      <c r="I269" s="17">
        <f>15500000+106819857+63252671</f>
        <v>185572528</v>
      </c>
      <c r="J269" s="17">
        <f>4243446.13+42571428.6</f>
        <v>46814874.730000004</v>
      </c>
      <c r="K269" s="17">
        <f>15500000+9917609.28+20681242.4</f>
        <v>46098851.68</v>
      </c>
      <c r="L269" s="17">
        <f t="shared" ref="L269:M269" si="8">15500000+9917609.28+20681242.4</f>
        <v>46098851.68</v>
      </c>
      <c r="M269" s="17">
        <f t="shared" si="8"/>
        <v>46098851.68</v>
      </c>
      <c r="N269" s="16"/>
      <c r="O269" s="25" t="s">
        <v>259</v>
      </c>
      <c r="P269" s="5" t="s">
        <v>56</v>
      </c>
      <c r="Q269" s="12">
        <v>43752</v>
      </c>
      <c r="R269" s="12">
        <v>43738</v>
      </c>
      <c r="S269" s="18"/>
    </row>
    <row r="270" spans="1:19" ht="30" x14ac:dyDescent="0.25">
      <c r="A270" s="5">
        <v>2019</v>
      </c>
      <c r="B270" s="23">
        <v>43466</v>
      </c>
      <c r="C270" s="23">
        <v>43738</v>
      </c>
      <c r="D270" s="5">
        <v>3000</v>
      </c>
      <c r="E270" s="5" t="s">
        <v>212</v>
      </c>
      <c r="F270" s="5" t="s">
        <v>213</v>
      </c>
      <c r="G270" s="7" t="s">
        <v>214</v>
      </c>
      <c r="H270" s="8">
        <v>636910</v>
      </c>
      <c r="I270" s="17">
        <v>9186910</v>
      </c>
      <c r="J270" s="17">
        <v>281267.39</v>
      </c>
      <c r="K270" s="17">
        <v>337166.18</v>
      </c>
      <c r="L270" s="17">
        <v>337166.18</v>
      </c>
      <c r="M270" s="17">
        <v>337166.18</v>
      </c>
      <c r="N270" s="16"/>
      <c r="O270" s="25" t="s">
        <v>259</v>
      </c>
      <c r="P270" s="5" t="s">
        <v>56</v>
      </c>
      <c r="Q270" s="12">
        <v>43752</v>
      </c>
      <c r="R270" s="12">
        <v>43738</v>
      </c>
      <c r="S270" s="18"/>
    </row>
    <row r="271" spans="1:19" ht="30" x14ac:dyDescent="0.25">
      <c r="A271" s="5">
        <v>2019</v>
      </c>
      <c r="B271" s="23">
        <v>43466</v>
      </c>
      <c r="C271" s="23">
        <v>43738</v>
      </c>
      <c r="D271" s="5">
        <v>3000</v>
      </c>
      <c r="E271" s="5" t="s">
        <v>212</v>
      </c>
      <c r="F271" s="5">
        <v>3541</v>
      </c>
      <c r="G271" s="7" t="s">
        <v>215</v>
      </c>
      <c r="H271" s="8">
        <v>0</v>
      </c>
      <c r="I271" s="17">
        <v>5000</v>
      </c>
      <c r="J271" s="17">
        <v>0</v>
      </c>
      <c r="K271" s="17">
        <v>2320</v>
      </c>
      <c r="L271" s="17">
        <v>2320</v>
      </c>
      <c r="M271" s="17">
        <v>2320</v>
      </c>
      <c r="N271" s="16"/>
      <c r="O271" s="25" t="s">
        <v>259</v>
      </c>
      <c r="P271" s="5" t="s">
        <v>56</v>
      </c>
      <c r="Q271" s="12">
        <v>43752</v>
      </c>
      <c r="R271" s="12">
        <v>43738</v>
      </c>
      <c r="S271" s="18"/>
    </row>
    <row r="272" spans="1:19" ht="30" x14ac:dyDescent="0.25">
      <c r="A272" s="5">
        <v>2019</v>
      </c>
      <c r="B272" s="23">
        <v>43466</v>
      </c>
      <c r="C272" s="23">
        <v>43738</v>
      </c>
      <c r="D272" s="5">
        <v>3000</v>
      </c>
      <c r="E272" s="5" t="s">
        <v>212</v>
      </c>
      <c r="F272" s="5" t="s">
        <v>216</v>
      </c>
      <c r="G272" s="7" t="s">
        <v>217</v>
      </c>
      <c r="H272" s="8">
        <f>2604738+101903008</f>
        <v>104507746</v>
      </c>
      <c r="I272" s="17">
        <f>7083880+2884735.19</f>
        <v>9968615.1899999995</v>
      </c>
      <c r="J272" s="17">
        <f>3299657.58+422265.8</f>
        <v>3721923.38</v>
      </c>
      <c r="K272" s="17">
        <v>200342.42</v>
      </c>
      <c r="L272" s="17">
        <v>200342.42</v>
      </c>
      <c r="M272" s="17">
        <v>200342.42</v>
      </c>
      <c r="N272" s="16"/>
      <c r="O272" s="25" t="s">
        <v>259</v>
      </c>
      <c r="P272" s="5" t="s">
        <v>56</v>
      </c>
      <c r="Q272" s="12">
        <v>43752</v>
      </c>
      <c r="R272" s="12">
        <v>43738</v>
      </c>
      <c r="S272" s="18"/>
    </row>
    <row r="273" spans="1:19" ht="30" x14ac:dyDescent="0.25">
      <c r="A273" s="5">
        <v>2019</v>
      </c>
      <c r="B273" s="23">
        <v>43466</v>
      </c>
      <c r="C273" s="23">
        <v>43738</v>
      </c>
      <c r="D273" s="5">
        <v>3000</v>
      </c>
      <c r="E273" s="5" t="s">
        <v>212</v>
      </c>
      <c r="F273" s="5" t="s">
        <v>218</v>
      </c>
      <c r="G273" s="7" t="s">
        <v>219</v>
      </c>
      <c r="H273" s="8">
        <v>255047</v>
      </c>
      <c r="I273" s="17">
        <v>255047</v>
      </c>
      <c r="J273" s="17">
        <v>245104.12</v>
      </c>
      <c r="K273" s="17">
        <v>9942.8799999999992</v>
      </c>
      <c r="L273" s="17">
        <v>9942.8799999999992</v>
      </c>
      <c r="M273" s="17">
        <v>9942.8799999999992</v>
      </c>
      <c r="N273" s="16"/>
      <c r="O273" s="25" t="s">
        <v>259</v>
      </c>
      <c r="P273" s="5" t="s">
        <v>56</v>
      </c>
      <c r="Q273" s="12">
        <v>43752</v>
      </c>
      <c r="R273" s="12">
        <v>43738</v>
      </c>
      <c r="S273" s="18"/>
    </row>
    <row r="274" spans="1:19" ht="30" x14ac:dyDescent="0.25">
      <c r="A274" s="5">
        <v>2019</v>
      </c>
      <c r="B274" s="23">
        <v>43466</v>
      </c>
      <c r="C274" s="23">
        <v>43738</v>
      </c>
      <c r="D274" s="5">
        <v>3000</v>
      </c>
      <c r="E274" s="5" t="s">
        <v>212</v>
      </c>
      <c r="F274" s="5" t="s">
        <v>220</v>
      </c>
      <c r="G274" s="7" t="s">
        <v>221</v>
      </c>
      <c r="H274" s="8">
        <f>3890607+234993883</f>
        <v>238884490</v>
      </c>
      <c r="I274" s="17">
        <f>3222305.01+287483622.21</f>
        <v>290705927.21999997</v>
      </c>
      <c r="J274" s="17">
        <v>114279284.29000001</v>
      </c>
      <c r="K274" s="17">
        <f>437096.42+170745428.05</f>
        <v>171182524.47</v>
      </c>
      <c r="L274" s="17">
        <f t="shared" ref="L274:M274" si="9">437096.42+170745428.05</f>
        <v>171182524.47</v>
      </c>
      <c r="M274" s="17">
        <f t="shared" si="9"/>
        <v>171182524.47</v>
      </c>
      <c r="N274" s="16"/>
      <c r="O274" s="25" t="s">
        <v>259</v>
      </c>
      <c r="P274" s="5" t="s">
        <v>56</v>
      </c>
      <c r="Q274" s="12">
        <v>43752</v>
      </c>
      <c r="R274" s="12">
        <v>43738</v>
      </c>
      <c r="S274" s="18"/>
    </row>
    <row r="275" spans="1:19" ht="30" x14ac:dyDescent="0.25">
      <c r="A275" s="5">
        <v>2019</v>
      </c>
      <c r="B275" s="23">
        <v>43466</v>
      </c>
      <c r="C275" s="23">
        <v>43738</v>
      </c>
      <c r="D275" s="5">
        <v>3000</v>
      </c>
      <c r="E275" s="5" t="s">
        <v>212</v>
      </c>
      <c r="F275" s="5" t="s">
        <v>222</v>
      </c>
      <c r="G275" s="7" t="s">
        <v>223</v>
      </c>
      <c r="H275" s="8">
        <v>3683751</v>
      </c>
      <c r="I275" s="17">
        <v>12935841.380000001</v>
      </c>
      <c r="J275" s="17">
        <v>5086299.6500000004</v>
      </c>
      <c r="K275" s="17">
        <v>7444141.7199999997</v>
      </c>
      <c r="L275" s="17">
        <v>7444141.7199999997</v>
      </c>
      <c r="M275" s="17">
        <v>7444141.7199999997</v>
      </c>
      <c r="N275" s="16"/>
      <c r="O275" s="25" t="s">
        <v>259</v>
      </c>
      <c r="P275" s="5" t="s">
        <v>56</v>
      </c>
      <c r="Q275" s="12">
        <v>43752</v>
      </c>
      <c r="R275" s="12">
        <v>43738</v>
      </c>
      <c r="S275" s="18"/>
    </row>
    <row r="276" spans="1:19" ht="30" x14ac:dyDescent="0.25">
      <c r="A276" s="5">
        <v>2019</v>
      </c>
      <c r="B276" s="23">
        <v>43466</v>
      </c>
      <c r="C276" s="23">
        <v>43738</v>
      </c>
      <c r="D276" s="5">
        <v>3000</v>
      </c>
      <c r="E276" s="5" t="s">
        <v>212</v>
      </c>
      <c r="F276" s="5" t="s">
        <v>224</v>
      </c>
      <c r="G276" s="7" t="s">
        <v>225</v>
      </c>
      <c r="H276" s="8">
        <v>776439</v>
      </c>
      <c r="I276" s="17">
        <v>1251287.83</v>
      </c>
      <c r="J276" s="17">
        <v>252067.95</v>
      </c>
      <c r="K276" s="17">
        <v>315084.95</v>
      </c>
      <c r="L276" s="17">
        <v>315084.95</v>
      </c>
      <c r="M276" s="17">
        <v>315084.95</v>
      </c>
      <c r="N276" s="16"/>
      <c r="O276" s="25" t="s">
        <v>259</v>
      </c>
      <c r="P276" s="5" t="s">
        <v>56</v>
      </c>
      <c r="Q276" s="12">
        <v>43752</v>
      </c>
      <c r="R276" s="12">
        <v>43738</v>
      </c>
      <c r="S276" s="18"/>
    </row>
    <row r="277" spans="1:19" ht="30" x14ac:dyDescent="0.25">
      <c r="A277" s="5">
        <v>2019</v>
      </c>
      <c r="B277" s="23">
        <v>43466</v>
      </c>
      <c r="C277" s="23">
        <v>43738</v>
      </c>
      <c r="D277" s="5">
        <v>3000</v>
      </c>
      <c r="E277" s="5" t="s">
        <v>226</v>
      </c>
      <c r="F277" s="5" t="s">
        <v>227</v>
      </c>
      <c r="G277" s="7" t="s">
        <v>228</v>
      </c>
      <c r="H277" s="8">
        <v>0</v>
      </c>
      <c r="I277" s="17">
        <v>54301.04</v>
      </c>
      <c r="J277" s="17">
        <v>0</v>
      </c>
      <c r="K277" s="17">
        <v>8600.5</v>
      </c>
      <c r="L277" s="17">
        <v>8600.5</v>
      </c>
      <c r="M277" s="17">
        <v>8600.5</v>
      </c>
      <c r="N277" s="16"/>
      <c r="O277" s="25" t="s">
        <v>259</v>
      </c>
      <c r="P277" s="5" t="s">
        <v>56</v>
      </c>
      <c r="Q277" s="12">
        <v>43752</v>
      </c>
      <c r="R277" s="12">
        <v>43738</v>
      </c>
      <c r="S277" s="18"/>
    </row>
    <row r="278" spans="1:19" ht="30" x14ac:dyDescent="0.25">
      <c r="A278" s="5">
        <v>2019</v>
      </c>
      <c r="B278" s="23">
        <v>43466</v>
      </c>
      <c r="C278" s="23">
        <v>43738</v>
      </c>
      <c r="D278" s="5">
        <v>3000</v>
      </c>
      <c r="E278" s="5" t="s">
        <v>226</v>
      </c>
      <c r="F278" s="5" t="s">
        <v>229</v>
      </c>
      <c r="G278" s="7" t="s">
        <v>230</v>
      </c>
      <c r="H278" s="8">
        <v>156791</v>
      </c>
      <c r="I278" s="17">
        <v>156791</v>
      </c>
      <c r="J278" s="17">
        <v>10200</v>
      </c>
      <c r="K278" s="17">
        <v>77000</v>
      </c>
      <c r="L278" s="17">
        <v>77000</v>
      </c>
      <c r="M278" s="17">
        <v>77000</v>
      </c>
      <c r="N278" s="16"/>
      <c r="O278" s="25" t="s">
        <v>259</v>
      </c>
      <c r="P278" s="5" t="s">
        <v>56</v>
      </c>
      <c r="Q278" s="12">
        <v>43752</v>
      </c>
      <c r="R278" s="12">
        <v>43738</v>
      </c>
      <c r="S278" s="18"/>
    </row>
    <row r="279" spans="1:19" ht="30" x14ac:dyDescent="0.25">
      <c r="A279" s="5">
        <v>2019</v>
      </c>
      <c r="B279" s="23">
        <v>43466</v>
      </c>
      <c r="C279" s="23">
        <v>43738</v>
      </c>
      <c r="D279" s="5">
        <v>3000</v>
      </c>
      <c r="E279" s="5" t="s">
        <v>226</v>
      </c>
      <c r="F279" s="5" t="s">
        <v>231</v>
      </c>
      <c r="G279" s="7" t="s">
        <v>232</v>
      </c>
      <c r="H279" s="8">
        <v>0</v>
      </c>
      <c r="I279" s="17">
        <v>806857</v>
      </c>
      <c r="J279" s="17">
        <v>0</v>
      </c>
      <c r="K279" s="17">
        <v>330822.31</v>
      </c>
      <c r="L279" s="17">
        <v>330822.31</v>
      </c>
      <c r="M279" s="17">
        <v>330822.31</v>
      </c>
      <c r="N279" s="16"/>
      <c r="O279" s="25" t="s">
        <v>259</v>
      </c>
      <c r="P279" s="5" t="s">
        <v>56</v>
      </c>
      <c r="Q279" s="12">
        <v>43752</v>
      </c>
      <c r="R279" s="12">
        <v>43738</v>
      </c>
      <c r="S279" s="18"/>
    </row>
    <row r="280" spans="1:19" ht="30" x14ac:dyDescent="0.25">
      <c r="A280" s="5">
        <v>2019</v>
      </c>
      <c r="B280" s="23">
        <v>43466</v>
      </c>
      <c r="C280" s="23">
        <v>43738</v>
      </c>
      <c r="D280" s="5">
        <v>3000</v>
      </c>
      <c r="E280" s="5" t="s">
        <v>233</v>
      </c>
      <c r="F280" s="5" t="s">
        <v>234</v>
      </c>
      <c r="G280" s="7" t="s">
        <v>235</v>
      </c>
      <c r="H280" s="8">
        <v>804056</v>
      </c>
      <c r="I280" s="17">
        <v>10677.79</v>
      </c>
      <c r="J280" s="17">
        <v>0</v>
      </c>
      <c r="K280" s="17">
        <v>0</v>
      </c>
      <c r="L280" s="17">
        <v>0</v>
      </c>
      <c r="M280" s="17">
        <v>0</v>
      </c>
      <c r="N280" s="16"/>
      <c r="O280" s="25" t="s">
        <v>259</v>
      </c>
      <c r="P280" s="5" t="s">
        <v>56</v>
      </c>
      <c r="Q280" s="12">
        <v>43752</v>
      </c>
      <c r="R280" s="12">
        <v>43738</v>
      </c>
      <c r="S280" s="18"/>
    </row>
    <row r="281" spans="1:19" ht="30" x14ac:dyDescent="0.25">
      <c r="A281" s="5">
        <v>2019</v>
      </c>
      <c r="B281" s="23">
        <v>43466</v>
      </c>
      <c r="C281" s="23">
        <v>43738</v>
      </c>
      <c r="D281" s="5">
        <v>3000</v>
      </c>
      <c r="E281" s="5" t="s">
        <v>236</v>
      </c>
      <c r="F281" s="5" t="s">
        <v>237</v>
      </c>
      <c r="G281" s="7" t="s">
        <v>238</v>
      </c>
      <c r="H281" s="8">
        <v>3843893</v>
      </c>
      <c r="I281" s="17">
        <v>6130438</v>
      </c>
      <c r="J281" s="17">
        <v>2050413.53</v>
      </c>
      <c r="K281" s="17">
        <v>4080024.47</v>
      </c>
      <c r="L281" s="17">
        <v>4080024.47</v>
      </c>
      <c r="M281" s="17">
        <v>4080024.47</v>
      </c>
      <c r="N281" s="16"/>
      <c r="O281" s="25" t="s">
        <v>259</v>
      </c>
      <c r="P281" s="5" t="s">
        <v>56</v>
      </c>
      <c r="Q281" s="12">
        <v>43752</v>
      </c>
      <c r="R281" s="12">
        <v>43738</v>
      </c>
      <c r="S281" s="18"/>
    </row>
    <row r="282" spans="1:19" ht="30" x14ac:dyDescent="0.25">
      <c r="A282" s="5">
        <v>2019</v>
      </c>
      <c r="B282" s="23">
        <v>43466</v>
      </c>
      <c r="C282" s="23">
        <v>43738</v>
      </c>
      <c r="D282" s="5">
        <v>3000</v>
      </c>
      <c r="E282" s="5" t="s">
        <v>236</v>
      </c>
      <c r="F282" s="5" t="s">
        <v>239</v>
      </c>
      <c r="G282" s="7" t="s">
        <v>240</v>
      </c>
      <c r="H282" s="8">
        <v>1150000</v>
      </c>
      <c r="I282" s="17">
        <v>1150000</v>
      </c>
      <c r="J282" s="17">
        <v>0</v>
      </c>
      <c r="K282" s="17">
        <v>0</v>
      </c>
      <c r="L282" s="17">
        <v>0</v>
      </c>
      <c r="M282" s="17">
        <v>0</v>
      </c>
      <c r="N282" s="16"/>
      <c r="O282" s="25" t="s">
        <v>259</v>
      </c>
      <c r="P282" s="5" t="s">
        <v>56</v>
      </c>
      <c r="Q282" s="12">
        <v>43752</v>
      </c>
      <c r="R282" s="12">
        <v>43738</v>
      </c>
      <c r="S282" s="18"/>
    </row>
    <row r="283" spans="1:19" ht="30" x14ac:dyDescent="0.25">
      <c r="A283" s="5">
        <v>2019</v>
      </c>
      <c r="B283" s="23">
        <v>43466</v>
      </c>
      <c r="C283" s="23">
        <v>43738</v>
      </c>
      <c r="D283" s="5">
        <v>3000</v>
      </c>
      <c r="E283" s="5" t="s">
        <v>236</v>
      </c>
      <c r="F283" s="5" t="s">
        <v>241</v>
      </c>
      <c r="G283" s="7" t="s">
        <v>242</v>
      </c>
      <c r="H283" s="8">
        <v>19112201</v>
      </c>
      <c r="I283" s="17">
        <f>19112201+491877</f>
        <v>19604078</v>
      </c>
      <c r="J283" s="17">
        <v>8014200.0700000003</v>
      </c>
      <c r="K283" s="17">
        <v>11098000.93</v>
      </c>
      <c r="L283" s="17">
        <v>11098000.93</v>
      </c>
      <c r="M283" s="17">
        <v>11098000.93</v>
      </c>
      <c r="N283" s="16"/>
      <c r="O283" s="25" t="s">
        <v>259</v>
      </c>
      <c r="P283" s="5" t="s">
        <v>56</v>
      </c>
      <c r="Q283" s="12">
        <v>43752</v>
      </c>
      <c r="R283" s="12">
        <v>43738</v>
      </c>
      <c r="S283" s="18"/>
    </row>
    <row r="284" spans="1:19" ht="30" x14ac:dyDescent="0.25">
      <c r="A284" s="5">
        <v>2019</v>
      </c>
      <c r="B284" s="23">
        <v>43466</v>
      </c>
      <c r="C284" s="23">
        <v>43738</v>
      </c>
      <c r="D284" s="5">
        <v>3000</v>
      </c>
      <c r="E284" s="5" t="s">
        <v>236</v>
      </c>
      <c r="F284" s="5" t="s">
        <v>243</v>
      </c>
      <c r="G284" s="7" t="s">
        <v>244</v>
      </c>
      <c r="H284" s="8">
        <v>5615801</v>
      </c>
      <c r="I284" s="17">
        <v>5615801</v>
      </c>
      <c r="J284" s="17">
        <v>5615801</v>
      </c>
      <c r="K284" s="17">
        <v>0</v>
      </c>
      <c r="L284" s="17">
        <v>0</v>
      </c>
      <c r="M284" s="17">
        <v>0</v>
      </c>
      <c r="N284" s="16"/>
      <c r="O284" s="25" t="s">
        <v>259</v>
      </c>
      <c r="P284" s="5" t="s">
        <v>56</v>
      </c>
      <c r="Q284" s="12">
        <v>43752</v>
      </c>
      <c r="R284" s="12">
        <v>43738</v>
      </c>
      <c r="S284" s="18"/>
    </row>
    <row r="285" spans="1:19" ht="30" x14ac:dyDescent="0.25">
      <c r="A285" s="5">
        <v>2019</v>
      </c>
      <c r="B285" s="23">
        <v>43466</v>
      </c>
      <c r="C285" s="23">
        <v>43738</v>
      </c>
      <c r="D285" s="5">
        <v>3000</v>
      </c>
      <c r="E285" s="5" t="s">
        <v>236</v>
      </c>
      <c r="F285" s="5" t="s">
        <v>245</v>
      </c>
      <c r="G285" s="7" t="s">
        <v>246</v>
      </c>
      <c r="H285" s="8">
        <v>6578692</v>
      </c>
      <c r="I285" s="17">
        <f>8000000+36500000</f>
        <v>44500000</v>
      </c>
      <c r="J285" s="17">
        <v>12100000</v>
      </c>
      <c r="K285" s="17">
        <v>24200000</v>
      </c>
      <c r="L285" s="17">
        <v>24200000</v>
      </c>
      <c r="M285" s="17">
        <v>24200000</v>
      </c>
      <c r="N285" s="16"/>
      <c r="O285" s="25" t="s">
        <v>259</v>
      </c>
      <c r="P285" s="5" t="s">
        <v>56</v>
      </c>
      <c r="Q285" s="12">
        <v>43752</v>
      </c>
      <c r="R285" s="12">
        <v>43738</v>
      </c>
      <c r="S285" s="18"/>
    </row>
    <row r="286" spans="1:19" ht="150" x14ac:dyDescent="0.25">
      <c r="A286" s="5">
        <v>2019</v>
      </c>
      <c r="B286" s="23">
        <v>43466</v>
      </c>
      <c r="C286" s="23">
        <v>43738</v>
      </c>
      <c r="D286" s="5">
        <v>4000</v>
      </c>
      <c r="E286" s="5" t="s">
        <v>247</v>
      </c>
      <c r="F286" s="5" t="s">
        <v>248</v>
      </c>
      <c r="G286" s="7" t="s">
        <v>249</v>
      </c>
      <c r="H286" s="8">
        <v>500000</v>
      </c>
      <c r="I286" s="17">
        <v>500000</v>
      </c>
      <c r="J286" s="17">
        <v>288000</v>
      </c>
      <c r="K286" s="17">
        <v>0</v>
      </c>
      <c r="L286" s="17">
        <v>0</v>
      </c>
      <c r="M286" s="17">
        <v>0</v>
      </c>
      <c r="N286" s="35" t="s">
        <v>262</v>
      </c>
      <c r="O286" s="25" t="s">
        <v>259</v>
      </c>
      <c r="P286" s="5" t="s">
        <v>56</v>
      </c>
      <c r="Q286" s="12">
        <v>43752</v>
      </c>
      <c r="R286" s="12">
        <v>43738</v>
      </c>
      <c r="S286" s="18"/>
    </row>
    <row r="287" spans="1:19" ht="30" x14ac:dyDescent="0.25">
      <c r="A287" s="5">
        <v>2019</v>
      </c>
      <c r="B287" s="23">
        <v>43466</v>
      </c>
      <c r="C287" s="23">
        <v>43738</v>
      </c>
      <c r="D287" s="5">
        <v>4000</v>
      </c>
      <c r="E287" s="5" t="s">
        <v>247</v>
      </c>
      <c r="F287" s="5">
        <v>4451</v>
      </c>
      <c r="G287" s="7" t="s">
        <v>251</v>
      </c>
      <c r="H287" s="8">
        <v>7768704</v>
      </c>
      <c r="I287" s="17">
        <v>7768704</v>
      </c>
      <c r="J287" s="17">
        <v>1511137.55</v>
      </c>
      <c r="K287" s="17">
        <v>6257566.4500000002</v>
      </c>
      <c r="L287" s="17">
        <v>6257566.4500000002</v>
      </c>
      <c r="M287" s="17">
        <v>6257566.4500000002</v>
      </c>
      <c r="N287" s="36"/>
      <c r="O287" s="25" t="s">
        <v>259</v>
      </c>
      <c r="P287" s="5" t="s">
        <v>56</v>
      </c>
      <c r="Q287" s="12">
        <v>43752</v>
      </c>
      <c r="R287" s="12">
        <v>43738</v>
      </c>
      <c r="S287" s="18"/>
    </row>
    <row r="288" spans="1:19" ht="30" x14ac:dyDescent="0.25">
      <c r="A288" s="5">
        <v>2019</v>
      </c>
      <c r="B288" s="23">
        <v>43466</v>
      </c>
      <c r="C288" s="23">
        <v>43738</v>
      </c>
      <c r="D288" s="5">
        <v>4000</v>
      </c>
      <c r="E288" s="5" t="s">
        <v>252</v>
      </c>
      <c r="F288" s="5" t="s">
        <v>253</v>
      </c>
      <c r="G288" s="7" t="s">
        <v>254</v>
      </c>
      <c r="H288" s="8">
        <v>149500000</v>
      </c>
      <c r="I288" s="17">
        <v>149500000</v>
      </c>
      <c r="J288" s="17">
        <v>25874731.350000001</v>
      </c>
      <c r="K288" s="17">
        <v>123625268.65000001</v>
      </c>
      <c r="L288" s="17">
        <v>123625268.65000001</v>
      </c>
      <c r="M288" s="17">
        <v>123625268.65000001</v>
      </c>
      <c r="N288" s="37"/>
      <c r="O288" s="25" t="s">
        <v>259</v>
      </c>
      <c r="P288" s="5" t="s">
        <v>56</v>
      </c>
      <c r="Q288" s="12">
        <v>43752</v>
      </c>
      <c r="R288" s="12">
        <v>43738</v>
      </c>
      <c r="S288" s="18"/>
    </row>
    <row r="289" spans="1:19" ht="60" x14ac:dyDescent="0.25">
      <c r="A289" s="5">
        <v>2019</v>
      </c>
      <c r="B289" s="23">
        <v>43466</v>
      </c>
      <c r="C289" s="23">
        <v>43738</v>
      </c>
      <c r="D289" s="19">
        <v>5000</v>
      </c>
      <c r="E289" s="19">
        <v>5400</v>
      </c>
      <c r="F289" s="19">
        <v>5412</v>
      </c>
      <c r="G289" s="20" t="s">
        <v>255</v>
      </c>
      <c r="H289" s="21">
        <v>292231296</v>
      </c>
      <c r="I289" s="17">
        <f>292231296+167000000</f>
        <v>459231296</v>
      </c>
      <c r="J289" s="17">
        <f>99963524.78+173849608.32</f>
        <v>273813133.10000002</v>
      </c>
      <c r="K289" s="17">
        <f>66642349.86+115899738.88</f>
        <v>182542088.74000001</v>
      </c>
      <c r="L289" s="17">
        <f t="shared" ref="L289:M289" si="10">66642349.86+115899738.88</f>
        <v>182542088.74000001</v>
      </c>
      <c r="M289" s="17">
        <f t="shared" si="10"/>
        <v>182542088.74000001</v>
      </c>
      <c r="N289" s="35" t="s">
        <v>263</v>
      </c>
      <c r="O289" s="25" t="s">
        <v>259</v>
      </c>
      <c r="P289" s="5" t="s">
        <v>56</v>
      </c>
      <c r="Q289" s="12">
        <v>43752</v>
      </c>
      <c r="R289" s="12">
        <v>43738</v>
      </c>
      <c r="S289" s="18"/>
    </row>
    <row r="290" spans="1:19" ht="30" x14ac:dyDescent="0.25">
      <c r="A290" s="5">
        <v>2019</v>
      </c>
      <c r="B290" s="23">
        <v>43466</v>
      </c>
      <c r="C290" s="23">
        <v>43738</v>
      </c>
      <c r="D290" s="19">
        <v>5000</v>
      </c>
      <c r="E290" s="19">
        <v>5600</v>
      </c>
      <c r="F290" s="19">
        <v>5651</v>
      </c>
      <c r="G290" s="18" t="s">
        <v>256</v>
      </c>
      <c r="H290" s="21">
        <v>50000000</v>
      </c>
      <c r="I290" s="17">
        <v>0</v>
      </c>
      <c r="J290" s="17">
        <v>0</v>
      </c>
      <c r="K290" s="17">
        <v>0</v>
      </c>
      <c r="L290" s="17">
        <v>0</v>
      </c>
      <c r="M290" s="17">
        <v>0</v>
      </c>
      <c r="N290" s="37"/>
      <c r="O290" s="25" t="s">
        <v>259</v>
      </c>
      <c r="P290" s="5" t="s">
        <v>56</v>
      </c>
      <c r="Q290" s="12">
        <v>43752</v>
      </c>
      <c r="R290" s="12">
        <v>43738</v>
      </c>
      <c r="S290" s="18"/>
    </row>
    <row r="291" spans="1:19" ht="30" x14ac:dyDescent="0.25">
      <c r="A291" s="5">
        <v>2019</v>
      </c>
      <c r="B291" s="23">
        <v>43466</v>
      </c>
      <c r="C291" s="23">
        <v>43830</v>
      </c>
      <c r="D291" s="5">
        <v>1000</v>
      </c>
      <c r="E291" s="5">
        <v>1100</v>
      </c>
      <c r="F291" s="5">
        <v>1131</v>
      </c>
      <c r="G291" s="7" t="s">
        <v>53</v>
      </c>
      <c r="H291" s="38">
        <v>274168872</v>
      </c>
      <c r="I291" s="38">
        <v>262573096.15000001</v>
      </c>
      <c r="J291" s="38">
        <v>2358159.1800000002</v>
      </c>
      <c r="K291" s="38">
        <f>257398740.26+2358159.18</f>
        <v>259756899.44</v>
      </c>
      <c r="L291" s="38">
        <v>257398740.25999999</v>
      </c>
      <c r="M291" s="38">
        <v>257398740.25999999</v>
      </c>
      <c r="N291" s="39" t="s">
        <v>264</v>
      </c>
      <c r="O291" s="11" t="s">
        <v>265</v>
      </c>
      <c r="P291" s="5" t="s">
        <v>56</v>
      </c>
      <c r="Q291" s="12">
        <v>43844</v>
      </c>
      <c r="R291" s="12">
        <v>43830</v>
      </c>
      <c r="S291" s="18"/>
    </row>
    <row r="292" spans="1:19" ht="30" x14ac:dyDescent="0.25">
      <c r="A292" s="5">
        <v>2019</v>
      </c>
      <c r="B292" s="23">
        <v>43466</v>
      </c>
      <c r="C292" s="23">
        <v>43830</v>
      </c>
      <c r="D292" s="5">
        <v>1000</v>
      </c>
      <c r="E292" s="5" t="s">
        <v>57</v>
      </c>
      <c r="F292" s="5" t="s">
        <v>58</v>
      </c>
      <c r="G292" s="7" t="s">
        <v>59</v>
      </c>
      <c r="H292" s="38">
        <v>10284220</v>
      </c>
      <c r="I292" s="38">
        <v>10284220</v>
      </c>
      <c r="J292" s="38">
        <v>472474.55</v>
      </c>
      <c r="K292" s="38">
        <f>472474.55+8970295.21</f>
        <v>9442769.7600000016</v>
      </c>
      <c r="L292" s="38">
        <v>8970295.2100000009</v>
      </c>
      <c r="M292" s="38">
        <v>8970295.2100000009</v>
      </c>
      <c r="N292" s="40"/>
      <c r="O292" s="11" t="s">
        <v>265</v>
      </c>
      <c r="P292" s="5" t="s">
        <v>56</v>
      </c>
      <c r="Q292" s="12">
        <v>43844</v>
      </c>
      <c r="R292" s="12">
        <v>43830</v>
      </c>
      <c r="S292" s="18"/>
    </row>
    <row r="293" spans="1:19" ht="30" x14ac:dyDescent="0.25">
      <c r="A293" s="5">
        <v>2019</v>
      </c>
      <c r="B293" s="23">
        <v>43466</v>
      </c>
      <c r="C293" s="23">
        <v>43830</v>
      </c>
      <c r="D293" s="5">
        <v>1000</v>
      </c>
      <c r="E293" s="5">
        <v>1300</v>
      </c>
      <c r="F293" s="5" t="s">
        <v>60</v>
      </c>
      <c r="G293" s="7" t="s">
        <v>61</v>
      </c>
      <c r="H293" s="38">
        <v>22975293</v>
      </c>
      <c r="I293" s="38">
        <v>23805293</v>
      </c>
      <c r="J293" s="38">
        <v>976435.48</v>
      </c>
      <c r="K293" s="38">
        <f>22578726.52+976435.48</f>
        <v>23555162</v>
      </c>
      <c r="L293" s="38">
        <v>22578726.52</v>
      </c>
      <c r="M293" s="38">
        <v>22578726.52</v>
      </c>
      <c r="N293" s="40"/>
      <c r="O293" s="11" t="s">
        <v>265</v>
      </c>
      <c r="P293" s="5" t="s">
        <v>56</v>
      </c>
      <c r="Q293" s="12">
        <v>43844</v>
      </c>
      <c r="R293" s="12">
        <v>43830</v>
      </c>
      <c r="S293" s="18"/>
    </row>
    <row r="294" spans="1:19" ht="30" x14ac:dyDescent="0.25">
      <c r="A294" s="5">
        <v>2019</v>
      </c>
      <c r="B294" s="23">
        <v>43466</v>
      </c>
      <c r="C294" s="23">
        <v>43830</v>
      </c>
      <c r="D294" s="5">
        <v>1000</v>
      </c>
      <c r="E294" s="5">
        <v>1300</v>
      </c>
      <c r="F294" s="5" t="s">
        <v>62</v>
      </c>
      <c r="G294" s="7" t="s">
        <v>63</v>
      </c>
      <c r="H294" s="38">
        <v>5225548</v>
      </c>
      <c r="I294" s="38">
        <v>5675548</v>
      </c>
      <c r="J294" s="38">
        <v>200532.3</v>
      </c>
      <c r="K294" s="38">
        <f>5265618.92+200532</f>
        <v>5466150.9199999999</v>
      </c>
      <c r="L294" s="38">
        <v>5265618.92</v>
      </c>
      <c r="M294" s="38">
        <v>5265618.92</v>
      </c>
      <c r="N294" s="40"/>
      <c r="O294" s="11" t="s">
        <v>265</v>
      </c>
      <c r="P294" s="5" t="s">
        <v>56</v>
      </c>
      <c r="Q294" s="12">
        <v>43844</v>
      </c>
      <c r="R294" s="12">
        <v>43830</v>
      </c>
      <c r="S294" s="18"/>
    </row>
    <row r="295" spans="1:19" ht="30" x14ac:dyDescent="0.25">
      <c r="A295" s="5">
        <v>2019</v>
      </c>
      <c r="B295" s="23">
        <v>43466</v>
      </c>
      <c r="C295" s="23">
        <v>43830</v>
      </c>
      <c r="D295" s="5">
        <v>1000</v>
      </c>
      <c r="E295" s="5">
        <v>1300</v>
      </c>
      <c r="F295" s="5" t="s">
        <v>64</v>
      </c>
      <c r="G295" s="7" t="s">
        <v>65</v>
      </c>
      <c r="H295" s="38">
        <v>43041534</v>
      </c>
      <c r="I295" s="38">
        <v>43041534</v>
      </c>
      <c r="J295" s="38">
        <v>1742593.1</v>
      </c>
      <c r="K295" s="38">
        <f>38503038.9+1742593.1</f>
        <v>40245632</v>
      </c>
      <c r="L295" s="38">
        <v>38503038.899999999</v>
      </c>
      <c r="M295" s="38">
        <v>38503038.899999999</v>
      </c>
      <c r="N295" s="40"/>
      <c r="O295" s="11" t="s">
        <v>265</v>
      </c>
      <c r="P295" s="5" t="s">
        <v>56</v>
      </c>
      <c r="Q295" s="12">
        <v>43844</v>
      </c>
      <c r="R295" s="12">
        <v>43830</v>
      </c>
      <c r="S295" s="18"/>
    </row>
    <row r="296" spans="1:19" ht="30" x14ac:dyDescent="0.25">
      <c r="A296" s="5">
        <v>2019</v>
      </c>
      <c r="B296" s="23">
        <v>43466</v>
      </c>
      <c r="C296" s="23">
        <v>43830</v>
      </c>
      <c r="D296" s="5">
        <v>1000</v>
      </c>
      <c r="E296" s="5">
        <v>1300</v>
      </c>
      <c r="F296" s="5" t="s">
        <v>66</v>
      </c>
      <c r="G296" s="7" t="s">
        <v>67</v>
      </c>
      <c r="H296" s="38">
        <v>9139470</v>
      </c>
      <c r="I296" s="38">
        <v>9139470</v>
      </c>
      <c r="J296" s="38">
        <v>633526.47</v>
      </c>
      <c r="K296" s="38">
        <f>8505943.63+633526.47</f>
        <v>9139470.1000000015</v>
      </c>
      <c r="L296" s="38">
        <v>8505943.5299999993</v>
      </c>
      <c r="M296" s="38">
        <v>8505943.5299999993</v>
      </c>
      <c r="N296" s="40"/>
      <c r="O296" s="11" t="s">
        <v>265</v>
      </c>
      <c r="P296" s="5" t="s">
        <v>56</v>
      </c>
      <c r="Q296" s="12">
        <v>43844</v>
      </c>
      <c r="R296" s="12">
        <v>43830</v>
      </c>
      <c r="S296" s="18"/>
    </row>
    <row r="297" spans="1:19" ht="30" x14ac:dyDescent="0.25">
      <c r="A297" s="5">
        <v>2019</v>
      </c>
      <c r="B297" s="23">
        <v>43466</v>
      </c>
      <c r="C297" s="23">
        <v>43830</v>
      </c>
      <c r="D297" s="5">
        <v>1000</v>
      </c>
      <c r="E297" s="5">
        <v>1300</v>
      </c>
      <c r="F297" s="5" t="s">
        <v>68</v>
      </c>
      <c r="G297" s="7" t="s">
        <v>69</v>
      </c>
      <c r="H297" s="38">
        <v>16197870</v>
      </c>
      <c r="I297" s="38">
        <v>16197870</v>
      </c>
      <c r="J297" s="38">
        <v>2976943.39</v>
      </c>
      <c r="K297" s="38">
        <f>13220926.61+2976943.39</f>
        <v>16197870</v>
      </c>
      <c r="L297" s="38">
        <v>13220926.609999999</v>
      </c>
      <c r="M297" s="38">
        <v>13220926.609999999</v>
      </c>
      <c r="N297" s="40"/>
      <c r="O297" s="11" t="s">
        <v>265</v>
      </c>
      <c r="P297" s="5" t="s">
        <v>56</v>
      </c>
      <c r="Q297" s="12">
        <v>43844</v>
      </c>
      <c r="R297" s="12">
        <v>43830</v>
      </c>
      <c r="S297" s="18"/>
    </row>
    <row r="298" spans="1:19" ht="30" x14ac:dyDescent="0.25">
      <c r="A298" s="5">
        <v>2019</v>
      </c>
      <c r="B298" s="23">
        <v>43466</v>
      </c>
      <c r="C298" s="23">
        <v>43830</v>
      </c>
      <c r="D298" s="5">
        <v>1000</v>
      </c>
      <c r="E298" s="5" t="s">
        <v>70</v>
      </c>
      <c r="F298" s="5" t="s">
        <v>71</v>
      </c>
      <c r="G298" s="7" t="s">
        <v>72</v>
      </c>
      <c r="H298" s="38">
        <v>77187567</v>
      </c>
      <c r="I298" s="38">
        <v>72223468.099999994</v>
      </c>
      <c r="J298" s="38">
        <v>8012178.6699999999</v>
      </c>
      <c r="K298" s="38">
        <f>59357231.67+8012178.67</f>
        <v>67369410.340000004</v>
      </c>
      <c r="L298" s="38">
        <v>59357231.670000002</v>
      </c>
      <c r="M298" s="38">
        <v>59357231.670000002</v>
      </c>
      <c r="N298" s="40"/>
      <c r="O298" s="11" t="s">
        <v>265</v>
      </c>
      <c r="P298" s="5" t="s">
        <v>56</v>
      </c>
      <c r="Q298" s="12">
        <v>43844</v>
      </c>
      <c r="R298" s="12">
        <v>43830</v>
      </c>
      <c r="S298" s="18"/>
    </row>
    <row r="299" spans="1:19" ht="30" x14ac:dyDescent="0.25">
      <c r="A299" s="5">
        <v>2019</v>
      </c>
      <c r="B299" s="23">
        <v>43466</v>
      </c>
      <c r="C299" s="23">
        <v>43830</v>
      </c>
      <c r="D299" s="5">
        <v>1000</v>
      </c>
      <c r="E299" s="5">
        <v>1400</v>
      </c>
      <c r="F299" s="5" t="s">
        <v>73</v>
      </c>
      <c r="G299" s="7" t="s">
        <v>74</v>
      </c>
      <c r="H299" s="38">
        <v>25150383</v>
      </c>
      <c r="I299" s="38">
        <v>27650383</v>
      </c>
      <c r="J299" s="38">
        <v>6756682.9500000002</v>
      </c>
      <c r="K299" s="38">
        <f>20885936.05+6756682.95</f>
        <v>27642619</v>
      </c>
      <c r="L299" s="38">
        <v>20885936.050000001</v>
      </c>
      <c r="M299" s="38">
        <v>20885936.050000001</v>
      </c>
      <c r="N299" s="40"/>
      <c r="O299" s="11" t="s">
        <v>265</v>
      </c>
      <c r="P299" s="5" t="s">
        <v>56</v>
      </c>
      <c r="Q299" s="12">
        <v>43844</v>
      </c>
      <c r="R299" s="12">
        <v>43830</v>
      </c>
      <c r="S299" s="18"/>
    </row>
    <row r="300" spans="1:19" ht="30" x14ac:dyDescent="0.25">
      <c r="A300" s="5">
        <v>2019</v>
      </c>
      <c r="B300" s="23">
        <v>43466</v>
      </c>
      <c r="C300" s="23">
        <v>43830</v>
      </c>
      <c r="D300" s="5">
        <v>1000</v>
      </c>
      <c r="E300" s="5">
        <v>1400</v>
      </c>
      <c r="F300" s="5" t="s">
        <v>75</v>
      </c>
      <c r="G300" s="7" t="s">
        <v>76</v>
      </c>
      <c r="H300" s="38">
        <v>31726580</v>
      </c>
      <c r="I300" s="38">
        <v>29106408</v>
      </c>
      <c r="J300" s="38">
        <v>5150104.76</v>
      </c>
      <c r="K300" s="38">
        <f>23946560.24+5150104.76</f>
        <v>29096665</v>
      </c>
      <c r="L300" s="38">
        <v>23946560.239999998</v>
      </c>
      <c r="M300" s="38">
        <v>23946560.239999998</v>
      </c>
      <c r="N300" s="40"/>
      <c r="O300" s="11" t="s">
        <v>265</v>
      </c>
      <c r="P300" s="5" t="s">
        <v>56</v>
      </c>
      <c r="Q300" s="12">
        <v>43844</v>
      </c>
      <c r="R300" s="12">
        <v>43830</v>
      </c>
      <c r="S300" s="18"/>
    </row>
    <row r="301" spans="1:19" ht="30" x14ac:dyDescent="0.25">
      <c r="A301" s="5">
        <v>2019</v>
      </c>
      <c r="B301" s="23">
        <v>43466</v>
      </c>
      <c r="C301" s="23">
        <v>43830</v>
      </c>
      <c r="D301" s="5">
        <v>1000</v>
      </c>
      <c r="E301" s="5">
        <v>1400</v>
      </c>
      <c r="F301" s="5" t="s">
        <v>77</v>
      </c>
      <c r="G301" s="7" t="s">
        <v>78</v>
      </c>
      <c r="H301" s="38">
        <v>3703336</v>
      </c>
      <c r="I301" s="38">
        <v>3703336</v>
      </c>
      <c r="J301" s="38">
        <v>1356975.04</v>
      </c>
      <c r="K301" s="38">
        <f>2346360.96+1356975.04</f>
        <v>3703336</v>
      </c>
      <c r="L301" s="38">
        <v>2346360.96</v>
      </c>
      <c r="M301" s="38">
        <v>2346360.96</v>
      </c>
      <c r="N301" s="40"/>
      <c r="O301" s="11" t="s">
        <v>265</v>
      </c>
      <c r="P301" s="5" t="s">
        <v>56</v>
      </c>
      <c r="Q301" s="12">
        <v>43844</v>
      </c>
      <c r="R301" s="12">
        <v>43830</v>
      </c>
      <c r="S301" s="18"/>
    </row>
    <row r="302" spans="1:19" ht="30" x14ac:dyDescent="0.25">
      <c r="A302" s="5">
        <v>2019</v>
      </c>
      <c r="B302" s="23">
        <v>43466</v>
      </c>
      <c r="C302" s="23">
        <v>43830</v>
      </c>
      <c r="D302" s="5">
        <v>1000</v>
      </c>
      <c r="E302" s="5" t="s">
        <v>79</v>
      </c>
      <c r="F302" s="5" t="s">
        <v>80</v>
      </c>
      <c r="G302" s="7" t="s">
        <v>81</v>
      </c>
      <c r="H302" s="38">
        <v>45127468</v>
      </c>
      <c r="I302" s="38">
        <v>45202468</v>
      </c>
      <c r="J302" s="38">
        <v>968842.77</v>
      </c>
      <c r="K302" s="38">
        <f>43452830.33+968842.77</f>
        <v>44421673.100000001</v>
      </c>
      <c r="L302" s="38">
        <v>43452830.329999998</v>
      </c>
      <c r="M302" s="38">
        <v>43452830.329999998</v>
      </c>
      <c r="N302" s="40"/>
      <c r="O302" s="11" t="s">
        <v>265</v>
      </c>
      <c r="P302" s="5" t="s">
        <v>56</v>
      </c>
      <c r="Q302" s="12">
        <v>43844</v>
      </c>
      <c r="R302" s="12">
        <v>43830</v>
      </c>
      <c r="S302" s="18"/>
    </row>
    <row r="303" spans="1:19" ht="30" x14ac:dyDescent="0.25">
      <c r="A303" s="5">
        <v>2019</v>
      </c>
      <c r="B303" s="23">
        <v>43466</v>
      </c>
      <c r="C303" s="23">
        <v>43830</v>
      </c>
      <c r="D303" s="5">
        <v>1000</v>
      </c>
      <c r="E303" s="5">
        <v>1500</v>
      </c>
      <c r="F303" s="5" t="s">
        <v>82</v>
      </c>
      <c r="G303" s="7" t="s">
        <v>83</v>
      </c>
      <c r="H303" s="38">
        <v>5000000</v>
      </c>
      <c r="I303" s="38">
        <f>5000000+16395898.23</f>
        <v>21395898.23</v>
      </c>
      <c r="J303" s="38">
        <f>454460.75+16395898.23</f>
        <v>16850358.98</v>
      </c>
      <c r="K303" s="38">
        <f>16850358.98+4545539.25</f>
        <v>21395898.23</v>
      </c>
      <c r="L303" s="38">
        <v>4545539.25</v>
      </c>
      <c r="M303" s="38">
        <v>4545539.25</v>
      </c>
      <c r="N303" s="40"/>
      <c r="O303" s="11" t="s">
        <v>265</v>
      </c>
      <c r="P303" s="5" t="s">
        <v>56</v>
      </c>
      <c r="Q303" s="12">
        <v>43844</v>
      </c>
      <c r="R303" s="12">
        <v>43830</v>
      </c>
      <c r="S303" s="18"/>
    </row>
    <row r="304" spans="1:19" ht="30" x14ac:dyDescent="0.25">
      <c r="A304" s="5">
        <v>2019</v>
      </c>
      <c r="B304" s="23">
        <v>43466</v>
      </c>
      <c r="C304" s="23">
        <v>43830</v>
      </c>
      <c r="D304" s="5">
        <v>1000</v>
      </c>
      <c r="E304" s="5">
        <v>1500</v>
      </c>
      <c r="F304" s="5" t="s">
        <v>84</v>
      </c>
      <c r="G304" s="7" t="s">
        <v>85</v>
      </c>
      <c r="H304" s="38">
        <v>50000000</v>
      </c>
      <c r="I304" s="38">
        <v>70000000</v>
      </c>
      <c r="J304" s="38">
        <v>18231711.149999999</v>
      </c>
      <c r="K304" s="38">
        <f>51768288.85+18231711.15</f>
        <v>70000000</v>
      </c>
      <c r="L304" s="38">
        <v>51768288.850000001</v>
      </c>
      <c r="M304" s="38">
        <v>51768288.850000001</v>
      </c>
      <c r="N304" s="40"/>
      <c r="O304" s="11" t="s">
        <v>265</v>
      </c>
      <c r="P304" s="5" t="s">
        <v>56</v>
      </c>
      <c r="Q304" s="12">
        <v>43844</v>
      </c>
      <c r="R304" s="12">
        <v>43830</v>
      </c>
      <c r="S304" s="18"/>
    </row>
    <row r="305" spans="1:19" ht="30" x14ac:dyDescent="0.25">
      <c r="A305" s="5">
        <v>2019</v>
      </c>
      <c r="B305" s="23">
        <v>43466</v>
      </c>
      <c r="C305" s="23">
        <v>43830</v>
      </c>
      <c r="D305" s="5">
        <v>1000</v>
      </c>
      <c r="E305" s="5">
        <v>1500</v>
      </c>
      <c r="F305" s="5" t="s">
        <v>86</v>
      </c>
      <c r="G305" s="7" t="s">
        <v>87</v>
      </c>
      <c r="H305" s="38">
        <f>19659885+41735622</f>
        <v>61395507</v>
      </c>
      <c r="I305" s="38">
        <f>19659885+41735622</f>
        <v>61395507</v>
      </c>
      <c r="J305" s="38">
        <f>525519.4+41735622</f>
        <v>42261141.399999999</v>
      </c>
      <c r="K305" s="38">
        <f>525519.4+41735622+17926752.51</f>
        <v>60187893.909999996</v>
      </c>
      <c r="L305" s="38">
        <v>17926752.510000002</v>
      </c>
      <c r="M305" s="38">
        <v>17926752.510000002</v>
      </c>
      <c r="N305" s="40"/>
      <c r="O305" s="11" t="s">
        <v>265</v>
      </c>
      <c r="P305" s="5" t="s">
        <v>56</v>
      </c>
      <c r="Q305" s="12">
        <v>43844</v>
      </c>
      <c r="R305" s="12">
        <v>43830</v>
      </c>
      <c r="S305" s="18"/>
    </row>
    <row r="306" spans="1:19" ht="30" x14ac:dyDescent="0.25">
      <c r="A306" s="5">
        <v>2019</v>
      </c>
      <c r="B306" s="23">
        <v>43466</v>
      </c>
      <c r="C306" s="23">
        <v>43830</v>
      </c>
      <c r="D306" s="5">
        <v>1000</v>
      </c>
      <c r="E306" s="5">
        <v>1500</v>
      </c>
      <c r="F306" s="5" t="s">
        <v>88</v>
      </c>
      <c r="G306" s="7" t="s">
        <v>89</v>
      </c>
      <c r="H306" s="38">
        <v>287152</v>
      </c>
      <c r="I306" s="38">
        <v>312152</v>
      </c>
      <c r="J306" s="38">
        <v>124692.89</v>
      </c>
      <c r="K306" s="38">
        <f>178491.29+124692.89</f>
        <v>303184.18</v>
      </c>
      <c r="L306" s="38">
        <v>178491.29</v>
      </c>
      <c r="M306" s="38">
        <v>178491.29</v>
      </c>
      <c r="N306" s="41"/>
      <c r="O306" s="11" t="s">
        <v>265</v>
      </c>
      <c r="P306" s="5" t="s">
        <v>56</v>
      </c>
      <c r="Q306" s="12">
        <v>43844</v>
      </c>
      <c r="R306" s="12">
        <v>43830</v>
      </c>
      <c r="S306" s="18"/>
    </row>
    <row r="307" spans="1:19" ht="30" x14ac:dyDescent="0.25">
      <c r="A307" s="5">
        <v>2019</v>
      </c>
      <c r="B307" s="23">
        <v>43466</v>
      </c>
      <c r="C307" s="23">
        <v>43830</v>
      </c>
      <c r="D307" s="5">
        <v>1000</v>
      </c>
      <c r="E307" s="5">
        <v>1500</v>
      </c>
      <c r="F307" s="5" t="s">
        <v>90</v>
      </c>
      <c r="G307" s="7" t="s">
        <v>91</v>
      </c>
      <c r="H307" s="38">
        <v>12956151</v>
      </c>
      <c r="I307" s="38">
        <v>12956151</v>
      </c>
      <c r="J307" s="38">
        <v>1371109.47</v>
      </c>
      <c r="K307" s="38">
        <f>10198317.04+1371109.47</f>
        <v>11569426.51</v>
      </c>
      <c r="L307" s="38">
        <v>10198317.039999999</v>
      </c>
      <c r="M307" s="38">
        <v>10198317.039999999</v>
      </c>
      <c r="N307" s="13"/>
      <c r="O307" s="11" t="s">
        <v>265</v>
      </c>
      <c r="P307" s="5" t="s">
        <v>56</v>
      </c>
      <c r="Q307" s="12">
        <v>43844</v>
      </c>
      <c r="R307" s="12">
        <v>43830</v>
      </c>
      <c r="S307" s="18"/>
    </row>
    <row r="308" spans="1:19" ht="30" x14ac:dyDescent="0.25">
      <c r="A308" s="5">
        <v>2019</v>
      </c>
      <c r="B308" s="23">
        <v>43466</v>
      </c>
      <c r="C308" s="23">
        <v>43830</v>
      </c>
      <c r="D308" s="5">
        <v>1000</v>
      </c>
      <c r="E308" s="5">
        <v>1500</v>
      </c>
      <c r="F308" s="5" t="s">
        <v>92</v>
      </c>
      <c r="G308" s="7" t="s">
        <v>93</v>
      </c>
      <c r="H308" s="38">
        <v>2751469</v>
      </c>
      <c r="I308" s="38">
        <v>2780969</v>
      </c>
      <c r="J308" s="38">
        <v>571401.88</v>
      </c>
      <c r="K308" s="38">
        <f>2159402.32+571401.88</f>
        <v>2730804.1999999997</v>
      </c>
      <c r="L308" s="38">
        <v>2159402.3199999998</v>
      </c>
      <c r="M308" s="38">
        <v>2159402.3199999998</v>
      </c>
      <c r="N308" s="13"/>
      <c r="O308" s="11" t="s">
        <v>265</v>
      </c>
      <c r="P308" s="5" t="s">
        <v>56</v>
      </c>
      <c r="Q308" s="12">
        <v>43844</v>
      </c>
      <c r="R308" s="12">
        <v>43830</v>
      </c>
      <c r="S308" s="18"/>
    </row>
    <row r="309" spans="1:19" ht="30" x14ac:dyDescent="0.25">
      <c r="A309" s="5">
        <v>2019</v>
      </c>
      <c r="B309" s="23">
        <v>43466</v>
      </c>
      <c r="C309" s="23">
        <v>43830</v>
      </c>
      <c r="D309" s="5">
        <v>1000</v>
      </c>
      <c r="E309" s="5">
        <v>1500</v>
      </c>
      <c r="F309" s="5" t="s">
        <v>94</v>
      </c>
      <c r="G309" s="7" t="s">
        <v>95</v>
      </c>
      <c r="H309" s="38">
        <v>1000000</v>
      </c>
      <c r="I309" s="38">
        <v>1000000</v>
      </c>
      <c r="J309" s="38">
        <v>1000000</v>
      </c>
      <c r="K309" s="38">
        <v>1000000</v>
      </c>
      <c r="L309" s="38">
        <v>0</v>
      </c>
      <c r="M309" s="38">
        <v>0</v>
      </c>
      <c r="N309" s="13"/>
      <c r="O309" s="11" t="s">
        <v>265</v>
      </c>
      <c r="P309" s="5" t="s">
        <v>56</v>
      </c>
      <c r="Q309" s="12">
        <v>43844</v>
      </c>
      <c r="R309" s="12">
        <v>43830</v>
      </c>
      <c r="S309" s="18"/>
    </row>
    <row r="310" spans="1:19" ht="30" x14ac:dyDescent="0.25">
      <c r="A310" s="5">
        <v>2019</v>
      </c>
      <c r="B310" s="23">
        <v>43466</v>
      </c>
      <c r="C310" s="23">
        <v>43830</v>
      </c>
      <c r="D310" s="5">
        <v>1000</v>
      </c>
      <c r="E310" s="5">
        <v>1500</v>
      </c>
      <c r="F310" s="5" t="s">
        <v>96</v>
      </c>
      <c r="G310" s="7" t="s">
        <v>97</v>
      </c>
      <c r="H310" s="38">
        <v>2601522</v>
      </c>
      <c r="I310" s="38">
        <v>2601522</v>
      </c>
      <c r="J310" s="38">
        <v>120740.53</v>
      </c>
      <c r="K310" s="38">
        <f>678600.47+120740.53</f>
        <v>799341</v>
      </c>
      <c r="L310" s="38">
        <v>678600.47</v>
      </c>
      <c r="M310" s="38">
        <v>678600.47</v>
      </c>
      <c r="N310" s="13"/>
      <c r="O310" s="11" t="s">
        <v>265</v>
      </c>
      <c r="P310" s="5" t="s">
        <v>56</v>
      </c>
      <c r="Q310" s="12">
        <v>43844</v>
      </c>
      <c r="R310" s="12">
        <v>43830</v>
      </c>
      <c r="S310" s="18"/>
    </row>
    <row r="311" spans="1:19" ht="30" x14ac:dyDescent="0.25">
      <c r="A311" s="5">
        <v>2019</v>
      </c>
      <c r="B311" s="23">
        <v>43466</v>
      </c>
      <c r="C311" s="23">
        <v>43830</v>
      </c>
      <c r="D311" s="5">
        <v>1000</v>
      </c>
      <c r="E311" s="5">
        <v>1500</v>
      </c>
      <c r="F311" s="5" t="s">
        <v>98</v>
      </c>
      <c r="G311" s="7" t="s">
        <v>99</v>
      </c>
      <c r="H311" s="38">
        <v>22312852</v>
      </c>
      <c r="I311" s="38">
        <v>23630852</v>
      </c>
      <c r="J311" s="38">
        <v>510375.98</v>
      </c>
      <c r="K311" s="38">
        <f>22665190.02+510375.98</f>
        <v>23175566</v>
      </c>
      <c r="L311" s="38">
        <v>22665190.02</v>
      </c>
      <c r="M311" s="38">
        <v>22665190.02</v>
      </c>
      <c r="N311" s="13"/>
      <c r="O311" s="11" t="s">
        <v>265</v>
      </c>
      <c r="P311" s="5" t="s">
        <v>56</v>
      </c>
      <c r="Q311" s="12">
        <v>43844</v>
      </c>
      <c r="R311" s="12">
        <v>43830</v>
      </c>
      <c r="S311" s="18"/>
    </row>
    <row r="312" spans="1:19" ht="30" x14ac:dyDescent="0.25">
      <c r="A312" s="5">
        <v>2019</v>
      </c>
      <c r="B312" s="23">
        <v>43466</v>
      </c>
      <c r="C312" s="23">
        <v>43830</v>
      </c>
      <c r="D312" s="5">
        <v>1000</v>
      </c>
      <c r="E312" s="5">
        <v>1500</v>
      </c>
      <c r="F312" s="5" t="s">
        <v>100</v>
      </c>
      <c r="G312" s="7" t="s">
        <v>101</v>
      </c>
      <c r="H312" s="38">
        <v>169500</v>
      </c>
      <c r="I312" s="38">
        <v>169500</v>
      </c>
      <c r="J312" s="38">
        <v>0</v>
      </c>
      <c r="K312" s="38">
        <v>0</v>
      </c>
      <c r="L312" s="38">
        <v>0</v>
      </c>
      <c r="M312" s="38">
        <v>0</v>
      </c>
      <c r="N312" s="13"/>
      <c r="O312" s="11" t="s">
        <v>265</v>
      </c>
      <c r="P312" s="5" t="s">
        <v>56</v>
      </c>
      <c r="Q312" s="12">
        <v>43844</v>
      </c>
      <c r="R312" s="12">
        <v>43830</v>
      </c>
      <c r="S312" s="18"/>
    </row>
    <row r="313" spans="1:19" ht="30" x14ac:dyDescent="0.25">
      <c r="A313" s="5">
        <v>2019</v>
      </c>
      <c r="B313" s="23">
        <v>43466</v>
      </c>
      <c r="C313" s="23">
        <v>43830</v>
      </c>
      <c r="D313" s="5">
        <v>1000</v>
      </c>
      <c r="E313" s="5">
        <v>1500</v>
      </c>
      <c r="F313" s="5" t="s">
        <v>102</v>
      </c>
      <c r="G313" s="7" t="s">
        <v>103</v>
      </c>
      <c r="H313" s="38">
        <v>70000</v>
      </c>
      <c r="I313" s="38">
        <v>70000</v>
      </c>
      <c r="J313" s="38">
        <v>0</v>
      </c>
      <c r="K313" s="38">
        <v>0</v>
      </c>
      <c r="L313" s="38">
        <v>0</v>
      </c>
      <c r="M313" s="38">
        <v>0</v>
      </c>
      <c r="N313" s="13"/>
      <c r="O313" s="11" t="s">
        <v>265</v>
      </c>
      <c r="P313" s="5" t="s">
        <v>56</v>
      </c>
      <c r="Q313" s="12">
        <v>43844</v>
      </c>
      <c r="R313" s="12">
        <v>43830</v>
      </c>
      <c r="S313" s="18"/>
    </row>
    <row r="314" spans="1:19" ht="30" x14ac:dyDescent="0.25">
      <c r="A314" s="5">
        <v>2019</v>
      </c>
      <c r="B314" s="23">
        <v>43466</v>
      </c>
      <c r="C314" s="23">
        <v>43830</v>
      </c>
      <c r="D314" s="5">
        <v>1000</v>
      </c>
      <c r="E314" s="5">
        <v>1600</v>
      </c>
      <c r="F314" s="5">
        <v>1611</v>
      </c>
      <c r="G314" s="7" t="s">
        <v>104</v>
      </c>
      <c r="H314" s="38">
        <v>1032347</v>
      </c>
      <c r="I314" s="38">
        <v>1032347</v>
      </c>
      <c r="J314" s="38">
        <v>0</v>
      </c>
      <c r="K314" s="38">
        <v>0</v>
      </c>
      <c r="L314" s="38">
        <v>0</v>
      </c>
      <c r="M314" s="38">
        <v>0</v>
      </c>
      <c r="N314" s="13"/>
      <c r="O314" s="11" t="s">
        <v>265</v>
      </c>
      <c r="P314" s="5" t="s">
        <v>56</v>
      </c>
      <c r="Q314" s="12">
        <v>43844</v>
      </c>
      <c r="R314" s="12">
        <v>43830</v>
      </c>
      <c r="S314" s="18"/>
    </row>
    <row r="315" spans="1:19" ht="30" x14ac:dyDescent="0.25">
      <c r="A315" s="5">
        <v>2019</v>
      </c>
      <c r="B315" s="23">
        <v>43466</v>
      </c>
      <c r="C315" s="23">
        <v>43830</v>
      </c>
      <c r="D315" s="5">
        <v>1000</v>
      </c>
      <c r="E315" s="5" t="s">
        <v>105</v>
      </c>
      <c r="F315" s="5" t="s">
        <v>106</v>
      </c>
      <c r="G315" s="7" t="s">
        <v>107</v>
      </c>
      <c r="H315" s="38">
        <v>64975895</v>
      </c>
      <c r="I315" s="38">
        <v>58928441.75</v>
      </c>
      <c r="J315" s="38">
        <v>1241092.3500000001</v>
      </c>
      <c r="K315" s="38">
        <f>55709959.21+1241092.35</f>
        <v>56951051.560000002</v>
      </c>
      <c r="L315" s="38">
        <v>55709959.210000001</v>
      </c>
      <c r="M315" s="38">
        <v>55709959.210000001</v>
      </c>
      <c r="N315" s="13"/>
      <c r="O315" s="11" t="s">
        <v>265</v>
      </c>
      <c r="P315" s="5" t="s">
        <v>56</v>
      </c>
      <c r="Q315" s="12">
        <v>43844</v>
      </c>
      <c r="R315" s="12">
        <v>43830</v>
      </c>
      <c r="S315" s="18"/>
    </row>
    <row r="316" spans="1:19" ht="120" x14ac:dyDescent="0.25">
      <c r="A316" s="5">
        <v>2019</v>
      </c>
      <c r="B316" s="23">
        <v>43466</v>
      </c>
      <c r="C316" s="23">
        <v>43830</v>
      </c>
      <c r="D316" s="5">
        <v>2000</v>
      </c>
      <c r="E316" s="5" t="s">
        <v>108</v>
      </c>
      <c r="F316" s="5" t="s">
        <v>109</v>
      </c>
      <c r="G316" s="7" t="s">
        <v>110</v>
      </c>
      <c r="H316" s="38">
        <v>414090</v>
      </c>
      <c r="I316" s="38">
        <v>1924090</v>
      </c>
      <c r="J316" s="38">
        <v>1340979.0900000001</v>
      </c>
      <c r="K316" s="38">
        <f>288331.19+1340979.09</f>
        <v>1629310.28</v>
      </c>
      <c r="L316" s="38">
        <v>288331.19</v>
      </c>
      <c r="M316" s="38">
        <v>288331.19</v>
      </c>
      <c r="N316" s="42" t="s">
        <v>266</v>
      </c>
      <c r="O316" s="11" t="s">
        <v>265</v>
      </c>
      <c r="P316" s="5" t="s">
        <v>56</v>
      </c>
      <c r="Q316" s="12">
        <v>43844</v>
      </c>
      <c r="R316" s="12">
        <v>43830</v>
      </c>
      <c r="S316" s="18"/>
    </row>
    <row r="317" spans="1:19" ht="30" x14ac:dyDescent="0.25">
      <c r="A317" s="5">
        <v>2019</v>
      </c>
      <c r="B317" s="23">
        <v>43466</v>
      </c>
      <c r="C317" s="23">
        <v>43830</v>
      </c>
      <c r="D317" s="5">
        <v>2000</v>
      </c>
      <c r="E317" s="5" t="s">
        <v>108</v>
      </c>
      <c r="F317" s="5" t="s">
        <v>112</v>
      </c>
      <c r="G317" s="7" t="s">
        <v>113</v>
      </c>
      <c r="H317" s="38">
        <v>42915</v>
      </c>
      <c r="I317" s="38">
        <v>42915</v>
      </c>
      <c r="J317" s="38">
        <v>0</v>
      </c>
      <c r="K317" s="38">
        <v>0</v>
      </c>
      <c r="L317" s="38">
        <v>0</v>
      </c>
      <c r="M317" s="38">
        <v>0</v>
      </c>
      <c r="N317" s="29"/>
      <c r="O317" s="11" t="s">
        <v>265</v>
      </c>
      <c r="P317" s="5" t="s">
        <v>56</v>
      </c>
      <c r="Q317" s="12">
        <v>43844</v>
      </c>
      <c r="R317" s="12">
        <v>43830</v>
      </c>
      <c r="S317" s="18"/>
    </row>
    <row r="318" spans="1:19" ht="30" x14ac:dyDescent="0.25">
      <c r="A318" s="5">
        <v>2019</v>
      </c>
      <c r="B318" s="23">
        <v>43466</v>
      </c>
      <c r="C318" s="23">
        <v>43830</v>
      </c>
      <c r="D318" s="5">
        <v>2000</v>
      </c>
      <c r="E318" s="5" t="s">
        <v>108</v>
      </c>
      <c r="F318" s="5" t="s">
        <v>114</v>
      </c>
      <c r="G318" s="7" t="s">
        <v>115</v>
      </c>
      <c r="H318" s="38">
        <v>150269</v>
      </c>
      <c r="I318" s="38">
        <v>1350269</v>
      </c>
      <c r="J318" s="38">
        <v>0</v>
      </c>
      <c r="K318" s="38">
        <v>1063289.6399999999</v>
      </c>
      <c r="L318" s="38">
        <v>1063289.6399999999</v>
      </c>
      <c r="M318" s="38">
        <v>1063289.6399999999</v>
      </c>
      <c r="N318" s="29"/>
      <c r="O318" s="11" t="s">
        <v>265</v>
      </c>
      <c r="P318" s="5" t="s">
        <v>56</v>
      </c>
      <c r="Q318" s="12">
        <v>43844</v>
      </c>
      <c r="R318" s="12">
        <v>43830</v>
      </c>
      <c r="S318" s="18"/>
    </row>
    <row r="319" spans="1:19" ht="30" x14ac:dyDescent="0.25">
      <c r="A319" s="5">
        <v>2019</v>
      </c>
      <c r="B319" s="23">
        <v>43466</v>
      </c>
      <c r="C319" s="23">
        <v>43830</v>
      </c>
      <c r="D319" s="5">
        <v>2000</v>
      </c>
      <c r="E319" s="5" t="s">
        <v>108</v>
      </c>
      <c r="F319" s="5" t="s">
        <v>116</v>
      </c>
      <c r="G319" s="7" t="s">
        <v>117</v>
      </c>
      <c r="H319" s="38">
        <v>789706</v>
      </c>
      <c r="I319" s="38">
        <f>880053.43+1613387.14</f>
        <v>2493440.5699999998</v>
      </c>
      <c r="J319" s="38">
        <v>13490.88</v>
      </c>
      <c r="K319" s="38">
        <f>54509.12+1389848.76+13490.88</f>
        <v>1457848.76</v>
      </c>
      <c r="L319" s="38">
        <f>54509.12+1389848.76</f>
        <v>1444357.8800000001</v>
      </c>
      <c r="M319" s="38">
        <f>54509.12+1389848.76</f>
        <v>1444357.8800000001</v>
      </c>
      <c r="N319" s="29"/>
      <c r="O319" s="11" t="s">
        <v>265</v>
      </c>
      <c r="P319" s="5" t="s">
        <v>56</v>
      </c>
      <c r="Q319" s="12">
        <v>43844</v>
      </c>
      <c r="R319" s="12">
        <v>43830</v>
      </c>
      <c r="S319" s="18"/>
    </row>
    <row r="320" spans="1:19" ht="30" x14ac:dyDescent="0.25">
      <c r="A320" s="5">
        <v>2019</v>
      </c>
      <c r="B320" s="23">
        <v>43466</v>
      </c>
      <c r="C320" s="23">
        <v>43830</v>
      </c>
      <c r="D320" s="5">
        <v>2000</v>
      </c>
      <c r="E320" s="5" t="s">
        <v>118</v>
      </c>
      <c r="F320" s="5" t="s">
        <v>119</v>
      </c>
      <c r="G320" s="7" t="s">
        <v>120</v>
      </c>
      <c r="H320" s="38">
        <v>322989</v>
      </c>
      <c r="I320" s="38">
        <v>322989</v>
      </c>
      <c r="J320" s="38">
        <v>256106.15</v>
      </c>
      <c r="K320" s="38">
        <f>43893.85+256106.15</f>
        <v>300000</v>
      </c>
      <c r="L320" s="38">
        <v>43893.85</v>
      </c>
      <c r="M320" s="38">
        <v>43893.85</v>
      </c>
      <c r="N320" s="29"/>
      <c r="O320" s="11" t="s">
        <v>265</v>
      </c>
      <c r="P320" s="5" t="s">
        <v>56</v>
      </c>
      <c r="Q320" s="12">
        <v>43844</v>
      </c>
      <c r="R320" s="12">
        <v>43830</v>
      </c>
      <c r="S320" s="18"/>
    </row>
    <row r="321" spans="1:19" ht="30" x14ac:dyDescent="0.25">
      <c r="A321" s="5">
        <v>2019</v>
      </c>
      <c r="B321" s="23">
        <v>43466</v>
      </c>
      <c r="C321" s="23">
        <v>43830</v>
      </c>
      <c r="D321" s="5">
        <v>2000</v>
      </c>
      <c r="E321" s="5" t="s">
        <v>121</v>
      </c>
      <c r="F321" s="5" t="s">
        <v>122</v>
      </c>
      <c r="G321" s="7" t="s">
        <v>123</v>
      </c>
      <c r="H321" s="38">
        <v>332837</v>
      </c>
      <c r="I321" s="38">
        <f>355164.2+79126.41</f>
        <v>434290.61</v>
      </c>
      <c r="J321" s="38">
        <v>0</v>
      </c>
      <c r="K321" s="38">
        <v>71928</v>
      </c>
      <c r="L321" s="38">
        <v>71928</v>
      </c>
      <c r="M321" s="38">
        <v>71928</v>
      </c>
      <c r="N321" s="29"/>
      <c r="O321" s="11" t="s">
        <v>265</v>
      </c>
      <c r="P321" s="5" t="s">
        <v>56</v>
      </c>
      <c r="Q321" s="12">
        <v>43844</v>
      </c>
      <c r="R321" s="12">
        <v>43830</v>
      </c>
      <c r="S321" s="18"/>
    </row>
    <row r="322" spans="1:19" ht="30" x14ac:dyDescent="0.25">
      <c r="A322" s="5">
        <v>2019</v>
      </c>
      <c r="B322" s="23">
        <v>43466</v>
      </c>
      <c r="C322" s="23">
        <v>43830</v>
      </c>
      <c r="D322" s="5">
        <v>2000</v>
      </c>
      <c r="E322" s="5" t="s">
        <v>121</v>
      </c>
      <c r="F322" s="5">
        <v>2421</v>
      </c>
      <c r="G322" s="7" t="s">
        <v>124</v>
      </c>
      <c r="H322" s="38">
        <v>243028</v>
      </c>
      <c r="I322" s="38">
        <f>220524.27+148376.21</f>
        <v>368900.48</v>
      </c>
      <c r="J322" s="38">
        <v>0</v>
      </c>
      <c r="K322" s="38">
        <f>218300.68+148375.21</f>
        <v>366675.89</v>
      </c>
      <c r="L322" s="38">
        <f>218300.68+148375.21</f>
        <v>366675.89</v>
      </c>
      <c r="M322" s="38">
        <f>218300.68+148375.21</f>
        <v>366675.89</v>
      </c>
      <c r="N322" s="29"/>
      <c r="O322" s="11" t="s">
        <v>265</v>
      </c>
      <c r="P322" s="5" t="s">
        <v>56</v>
      </c>
      <c r="Q322" s="12">
        <v>43844</v>
      </c>
      <c r="R322" s="12">
        <v>43830</v>
      </c>
      <c r="S322" s="18"/>
    </row>
    <row r="323" spans="1:19" ht="30" x14ac:dyDescent="0.25">
      <c r="A323" s="5">
        <v>2019</v>
      </c>
      <c r="B323" s="23">
        <v>43466</v>
      </c>
      <c r="C323" s="23">
        <v>43830</v>
      </c>
      <c r="D323" s="5">
        <v>2000</v>
      </c>
      <c r="E323" s="5" t="s">
        <v>121</v>
      </c>
      <c r="F323" s="5">
        <v>2431</v>
      </c>
      <c r="G323" s="7" t="s">
        <v>125</v>
      </c>
      <c r="H323" s="38">
        <v>2970</v>
      </c>
      <c r="I323" s="38">
        <f>3692.82+41644</f>
        <v>45336.82</v>
      </c>
      <c r="J323" s="38">
        <v>0</v>
      </c>
      <c r="K323" s="38">
        <v>37236</v>
      </c>
      <c r="L323" s="38">
        <v>37236</v>
      </c>
      <c r="M323" s="38">
        <v>37236</v>
      </c>
      <c r="N323" s="30"/>
      <c r="O323" s="11" t="s">
        <v>265</v>
      </c>
      <c r="P323" s="5" t="s">
        <v>56</v>
      </c>
      <c r="Q323" s="12">
        <v>43844</v>
      </c>
      <c r="R323" s="12">
        <v>43830</v>
      </c>
      <c r="S323" s="18"/>
    </row>
    <row r="324" spans="1:19" ht="30" x14ac:dyDescent="0.25">
      <c r="A324" s="5">
        <v>2019</v>
      </c>
      <c r="B324" s="23">
        <v>43466</v>
      </c>
      <c r="C324" s="23">
        <v>43830</v>
      </c>
      <c r="D324" s="5">
        <v>2000</v>
      </c>
      <c r="E324" s="5" t="s">
        <v>121</v>
      </c>
      <c r="F324" s="5" t="s">
        <v>126</v>
      </c>
      <c r="G324" s="7" t="s">
        <v>127</v>
      </c>
      <c r="H324" s="38">
        <v>173212</v>
      </c>
      <c r="I324" s="38">
        <v>100406</v>
      </c>
      <c r="J324" s="38">
        <v>0</v>
      </c>
      <c r="K324" s="38">
        <v>35000</v>
      </c>
      <c r="L324" s="38">
        <v>35000</v>
      </c>
      <c r="M324" s="38">
        <v>35000</v>
      </c>
      <c r="N324" s="31"/>
      <c r="O324" s="11" t="s">
        <v>265</v>
      </c>
      <c r="P324" s="5" t="s">
        <v>56</v>
      </c>
      <c r="Q324" s="12">
        <v>43844</v>
      </c>
      <c r="R324" s="12">
        <v>43830</v>
      </c>
      <c r="S324" s="18"/>
    </row>
    <row r="325" spans="1:19" ht="30" x14ac:dyDescent="0.25">
      <c r="A325" s="5">
        <v>2019</v>
      </c>
      <c r="B325" s="23">
        <v>43466</v>
      </c>
      <c r="C325" s="23">
        <v>43830</v>
      </c>
      <c r="D325" s="5">
        <v>2000</v>
      </c>
      <c r="E325" s="5" t="s">
        <v>121</v>
      </c>
      <c r="F325" s="5" t="s">
        <v>128</v>
      </c>
      <c r="G325" s="7" t="s">
        <v>129</v>
      </c>
      <c r="H325" s="38">
        <v>29386</v>
      </c>
      <c r="I325" s="38">
        <v>29386</v>
      </c>
      <c r="J325" s="38">
        <v>0</v>
      </c>
      <c r="K325" s="38">
        <v>29348</v>
      </c>
      <c r="L325" s="38">
        <v>29348</v>
      </c>
      <c r="M325" s="38">
        <v>29348</v>
      </c>
      <c r="N325" s="13"/>
      <c r="O325" s="11" t="s">
        <v>265</v>
      </c>
      <c r="P325" s="5" t="s">
        <v>56</v>
      </c>
      <c r="Q325" s="12">
        <v>43844</v>
      </c>
      <c r="R325" s="12">
        <v>43830</v>
      </c>
      <c r="S325" s="18"/>
    </row>
    <row r="326" spans="1:19" ht="30" x14ac:dyDescent="0.25">
      <c r="A326" s="5">
        <v>2019</v>
      </c>
      <c r="B326" s="23">
        <v>43466</v>
      </c>
      <c r="C326" s="23">
        <v>43830</v>
      </c>
      <c r="D326" s="5">
        <v>2000</v>
      </c>
      <c r="E326" s="5" t="s">
        <v>121</v>
      </c>
      <c r="F326" s="5" t="s">
        <v>130</v>
      </c>
      <c r="G326" s="7" t="s">
        <v>131</v>
      </c>
      <c r="H326" s="38">
        <f>1117452+7637301</f>
        <v>8754753</v>
      </c>
      <c r="I326" s="38">
        <f>4054876.5+15542798.24</f>
        <v>19597674.740000002</v>
      </c>
      <c r="J326" s="38">
        <f>127280.16+4058921.66</f>
        <v>4186201.8200000003</v>
      </c>
      <c r="K326" s="38">
        <f>127280.16+4058921.66+1823949.04+11185026.94</f>
        <v>17195177.800000001</v>
      </c>
      <c r="L326" s="38">
        <f>1823949.04+11185026.94</f>
        <v>13008975.98</v>
      </c>
      <c r="M326" s="38">
        <f>1823949.04+11185026.94</f>
        <v>13008975.98</v>
      </c>
      <c r="N326" s="13"/>
      <c r="O326" s="11" t="s">
        <v>265</v>
      </c>
      <c r="P326" s="5" t="s">
        <v>56</v>
      </c>
      <c r="Q326" s="12">
        <v>43844</v>
      </c>
      <c r="R326" s="12">
        <v>43830</v>
      </c>
      <c r="S326" s="18"/>
    </row>
    <row r="327" spans="1:19" ht="30" x14ac:dyDescent="0.25">
      <c r="A327" s="5">
        <v>2019</v>
      </c>
      <c r="B327" s="23">
        <v>43466</v>
      </c>
      <c r="C327" s="23">
        <v>43830</v>
      </c>
      <c r="D327" s="5">
        <v>2000</v>
      </c>
      <c r="E327" s="5" t="s">
        <v>121</v>
      </c>
      <c r="F327" s="5" t="s">
        <v>132</v>
      </c>
      <c r="G327" s="7" t="s">
        <v>133</v>
      </c>
      <c r="H327" s="38">
        <v>1622546</v>
      </c>
      <c r="I327" s="38">
        <f>1698494.38+44657.68</f>
        <v>1743152.0599999998</v>
      </c>
      <c r="J327" s="38">
        <v>238521.19</v>
      </c>
      <c r="K327" s="38">
        <f>538861.49+9419.2+238521.19</f>
        <v>786801.87999999989</v>
      </c>
      <c r="L327" s="38">
        <f>538861.49+9419.2</f>
        <v>548280.68999999994</v>
      </c>
      <c r="M327" s="38">
        <f>538861.49+9419.2</f>
        <v>548280.68999999994</v>
      </c>
      <c r="N327" s="13"/>
      <c r="O327" s="11" t="s">
        <v>265</v>
      </c>
      <c r="P327" s="5" t="s">
        <v>56</v>
      </c>
      <c r="Q327" s="12">
        <v>43844</v>
      </c>
      <c r="R327" s="12">
        <v>43830</v>
      </c>
      <c r="S327" s="18"/>
    </row>
    <row r="328" spans="1:19" ht="30" x14ac:dyDescent="0.25">
      <c r="A328" s="5">
        <v>2019</v>
      </c>
      <c r="B328" s="23">
        <v>43466</v>
      </c>
      <c r="C328" s="23">
        <v>43830</v>
      </c>
      <c r="D328" s="5">
        <v>2000</v>
      </c>
      <c r="E328" s="5" t="s">
        <v>121</v>
      </c>
      <c r="F328" s="5">
        <v>2481</v>
      </c>
      <c r="G328" s="7" t="s">
        <v>134</v>
      </c>
      <c r="H328" s="38">
        <v>20906</v>
      </c>
      <c r="I328" s="38">
        <v>0</v>
      </c>
      <c r="J328" s="38">
        <v>0</v>
      </c>
      <c r="K328" s="38">
        <v>0</v>
      </c>
      <c r="L328" s="38">
        <v>0</v>
      </c>
      <c r="M328" s="38">
        <v>0</v>
      </c>
      <c r="N328" s="13"/>
      <c r="O328" s="11" t="s">
        <v>265</v>
      </c>
      <c r="P328" s="5" t="s">
        <v>56</v>
      </c>
      <c r="Q328" s="12">
        <v>43844</v>
      </c>
      <c r="R328" s="12">
        <v>43830</v>
      </c>
      <c r="S328" s="18"/>
    </row>
    <row r="329" spans="1:19" ht="30" x14ac:dyDescent="0.25">
      <c r="A329" s="5">
        <v>2019</v>
      </c>
      <c r="B329" s="23">
        <v>43466</v>
      </c>
      <c r="C329" s="23">
        <v>43830</v>
      </c>
      <c r="D329" s="5">
        <v>2000</v>
      </c>
      <c r="E329" s="5" t="s">
        <v>121</v>
      </c>
      <c r="F329" s="5" t="s">
        <v>135</v>
      </c>
      <c r="G329" s="7" t="s">
        <v>136</v>
      </c>
      <c r="H329" s="38">
        <v>1153462</v>
      </c>
      <c r="I329" s="38">
        <f>1478261.74+342924.46</f>
        <v>1821186.2</v>
      </c>
      <c r="J329" s="38">
        <v>17200.439999999999</v>
      </c>
      <c r="K329" s="38">
        <f>634053.4+337896.2+17200.44</f>
        <v>989150.04</v>
      </c>
      <c r="L329" s="38">
        <f>634053.4+337896.2</f>
        <v>971949.60000000009</v>
      </c>
      <c r="M329" s="38">
        <f>634053.4+337896.2</f>
        <v>971949.60000000009</v>
      </c>
      <c r="N329" s="13"/>
      <c r="O329" s="11" t="s">
        <v>265</v>
      </c>
      <c r="P329" s="5" t="s">
        <v>56</v>
      </c>
      <c r="Q329" s="12">
        <v>43844</v>
      </c>
      <c r="R329" s="12">
        <v>43830</v>
      </c>
      <c r="S329" s="18"/>
    </row>
    <row r="330" spans="1:19" ht="30" x14ac:dyDescent="0.25">
      <c r="A330" s="5">
        <v>2019</v>
      </c>
      <c r="B330" s="23">
        <v>43466</v>
      </c>
      <c r="C330" s="23">
        <v>43830</v>
      </c>
      <c r="D330" s="5">
        <v>2000</v>
      </c>
      <c r="E330" s="5" t="s">
        <v>137</v>
      </c>
      <c r="F330" s="5" t="s">
        <v>138</v>
      </c>
      <c r="G330" s="7" t="s">
        <v>139</v>
      </c>
      <c r="H330" s="38">
        <v>37822</v>
      </c>
      <c r="I330" s="38">
        <f>20000+15080</f>
        <v>35080</v>
      </c>
      <c r="J330" s="38">
        <v>12064</v>
      </c>
      <c r="K330" s="38">
        <f>3016+12064</f>
        <v>15080</v>
      </c>
      <c r="L330" s="38">
        <v>3016</v>
      </c>
      <c r="M330" s="38">
        <v>3016</v>
      </c>
      <c r="N330" s="13"/>
      <c r="O330" s="11" t="s">
        <v>265</v>
      </c>
      <c r="P330" s="5" t="s">
        <v>56</v>
      </c>
      <c r="Q330" s="12">
        <v>43844</v>
      </c>
      <c r="R330" s="12">
        <v>43830</v>
      </c>
      <c r="S330" s="18"/>
    </row>
    <row r="331" spans="1:19" ht="30" x14ac:dyDescent="0.25">
      <c r="A331" s="5">
        <v>2019</v>
      </c>
      <c r="B331" s="23">
        <v>43466</v>
      </c>
      <c r="C331" s="23">
        <v>43830</v>
      </c>
      <c r="D331" s="5">
        <v>2000</v>
      </c>
      <c r="E331" s="5" t="s">
        <v>137</v>
      </c>
      <c r="F331" s="5" t="s">
        <v>140</v>
      </c>
      <c r="G331" s="7" t="s">
        <v>141</v>
      </c>
      <c r="H331" s="38">
        <v>562839</v>
      </c>
      <c r="I331" s="38">
        <v>514757</v>
      </c>
      <c r="J331" s="38">
        <v>286030.34999999998</v>
      </c>
      <c r="K331" s="38">
        <v>286030.34999999998</v>
      </c>
      <c r="L331" s="38">
        <v>0</v>
      </c>
      <c r="M331" s="38">
        <v>0</v>
      </c>
      <c r="N331" s="13"/>
      <c r="O331" s="11" t="s">
        <v>265</v>
      </c>
      <c r="P331" s="5" t="s">
        <v>56</v>
      </c>
      <c r="Q331" s="12">
        <v>43844</v>
      </c>
      <c r="R331" s="12">
        <v>43830</v>
      </c>
      <c r="S331" s="18"/>
    </row>
    <row r="332" spans="1:19" ht="30" x14ac:dyDescent="0.25">
      <c r="A332" s="5">
        <v>2019</v>
      </c>
      <c r="B332" s="23">
        <v>43466</v>
      </c>
      <c r="C332" s="23">
        <v>43830</v>
      </c>
      <c r="D332" s="5">
        <v>2000</v>
      </c>
      <c r="E332" s="5" t="s">
        <v>137</v>
      </c>
      <c r="F332" s="5" t="s">
        <v>142</v>
      </c>
      <c r="G332" s="7" t="s">
        <v>143</v>
      </c>
      <c r="H332" s="38">
        <v>116347</v>
      </c>
      <c r="I332" s="38">
        <v>164429</v>
      </c>
      <c r="J332" s="38">
        <v>5000</v>
      </c>
      <c r="K332" s="38">
        <f>158655.14+5000</f>
        <v>163655.14000000001</v>
      </c>
      <c r="L332" s="38">
        <v>158655.14000000001</v>
      </c>
      <c r="M332" s="38">
        <v>158655.14000000001</v>
      </c>
      <c r="N332" s="13"/>
      <c r="O332" s="11" t="s">
        <v>265</v>
      </c>
      <c r="P332" s="5" t="s">
        <v>56</v>
      </c>
      <c r="Q332" s="12">
        <v>43844</v>
      </c>
      <c r="R332" s="12">
        <v>43830</v>
      </c>
      <c r="S332" s="18"/>
    </row>
    <row r="333" spans="1:19" ht="30" x14ac:dyDescent="0.25">
      <c r="A333" s="5">
        <v>2019</v>
      </c>
      <c r="B333" s="23">
        <v>43466</v>
      </c>
      <c r="C333" s="23">
        <v>43830</v>
      </c>
      <c r="D333" s="5">
        <v>2000</v>
      </c>
      <c r="E333" s="5" t="s">
        <v>137</v>
      </c>
      <c r="F333" s="5" t="s">
        <v>144</v>
      </c>
      <c r="G333" s="7" t="s">
        <v>145</v>
      </c>
      <c r="H333" s="38">
        <v>403543</v>
      </c>
      <c r="I333" s="38">
        <v>432061.9</v>
      </c>
      <c r="J333" s="38">
        <v>0</v>
      </c>
      <c r="K333" s="38">
        <v>0</v>
      </c>
      <c r="L333" s="38">
        <v>0</v>
      </c>
      <c r="M333" s="38">
        <v>0</v>
      </c>
      <c r="N333" s="13"/>
      <c r="O333" s="11" t="s">
        <v>265</v>
      </c>
      <c r="P333" s="5" t="s">
        <v>56</v>
      </c>
      <c r="Q333" s="12">
        <v>43844</v>
      </c>
      <c r="R333" s="12">
        <v>43830</v>
      </c>
      <c r="S333" s="18"/>
    </row>
    <row r="334" spans="1:19" ht="30" x14ac:dyDescent="0.25">
      <c r="A334" s="5">
        <v>2019</v>
      </c>
      <c r="B334" s="23">
        <v>43466</v>
      </c>
      <c r="C334" s="23">
        <v>43830</v>
      </c>
      <c r="D334" s="5">
        <v>2000</v>
      </c>
      <c r="E334" s="5" t="s">
        <v>137</v>
      </c>
      <c r="F334" s="5" t="s">
        <v>146</v>
      </c>
      <c r="G334" s="7" t="s">
        <v>147</v>
      </c>
      <c r="H334" s="38">
        <v>199649</v>
      </c>
      <c r="I334" s="38">
        <f>245426.69+165074.12</f>
        <v>410500.81</v>
      </c>
      <c r="J334" s="38">
        <f>22082.8+142044.69</f>
        <v>164127.49</v>
      </c>
      <c r="K334" s="38">
        <f>139467.1+23029.43+22082.8+142044.69</f>
        <v>326624.02</v>
      </c>
      <c r="L334" s="38">
        <f>139467.1+23029.43</f>
        <v>162496.53</v>
      </c>
      <c r="M334" s="38">
        <f>139467.1+23029.43</f>
        <v>162496.53</v>
      </c>
      <c r="N334" s="13"/>
      <c r="O334" s="11" t="s">
        <v>265</v>
      </c>
      <c r="P334" s="5" t="s">
        <v>56</v>
      </c>
      <c r="Q334" s="12">
        <v>43844</v>
      </c>
      <c r="R334" s="12">
        <v>43830</v>
      </c>
      <c r="S334" s="18"/>
    </row>
    <row r="335" spans="1:19" ht="30" x14ac:dyDescent="0.25">
      <c r="A335" s="5">
        <v>2019</v>
      </c>
      <c r="B335" s="23">
        <v>43466</v>
      </c>
      <c r="C335" s="23">
        <v>43830</v>
      </c>
      <c r="D335" s="5">
        <v>2000</v>
      </c>
      <c r="E335" s="5" t="s">
        <v>148</v>
      </c>
      <c r="F335" s="5" t="s">
        <v>149</v>
      </c>
      <c r="G335" s="7" t="s">
        <v>150</v>
      </c>
      <c r="H335" s="38">
        <v>9199696</v>
      </c>
      <c r="I335" s="38">
        <f>7651054.52+1749280.2</f>
        <v>9400334.7199999988</v>
      </c>
      <c r="J335" s="38">
        <f>1233479.36+18899.88</f>
        <v>1252379.24</v>
      </c>
      <c r="K335" s="38">
        <f>5420961.91+255896+1233479.36+18899.88</f>
        <v>6929237.1500000004</v>
      </c>
      <c r="L335" s="38">
        <f>5420961.91+255896</f>
        <v>5676857.9100000001</v>
      </c>
      <c r="M335" s="38">
        <f>5420961.91+255896</f>
        <v>5676857.9100000001</v>
      </c>
      <c r="N335" s="13"/>
      <c r="O335" s="11" t="s">
        <v>265</v>
      </c>
      <c r="P335" s="5" t="s">
        <v>56</v>
      </c>
      <c r="Q335" s="12">
        <v>43844</v>
      </c>
      <c r="R335" s="12">
        <v>43830</v>
      </c>
      <c r="S335" s="18"/>
    </row>
    <row r="336" spans="1:19" ht="30" x14ac:dyDescent="0.25">
      <c r="A336" s="5">
        <v>2019</v>
      </c>
      <c r="B336" s="23">
        <v>43466</v>
      </c>
      <c r="C336" s="23">
        <v>43830</v>
      </c>
      <c r="D336" s="5">
        <v>2000</v>
      </c>
      <c r="E336" s="5" t="s">
        <v>148</v>
      </c>
      <c r="F336" s="5" t="s">
        <v>151</v>
      </c>
      <c r="G336" s="7" t="s">
        <v>152</v>
      </c>
      <c r="H336" s="38">
        <v>20737</v>
      </c>
      <c r="I336" s="38">
        <v>40000</v>
      </c>
      <c r="J336" s="38">
        <v>20745.16</v>
      </c>
      <c r="K336" s="38">
        <f>19254.84+20745.16</f>
        <v>40000</v>
      </c>
      <c r="L336" s="38">
        <v>19254.84</v>
      </c>
      <c r="M336" s="38">
        <v>19254.84</v>
      </c>
      <c r="N336" s="13"/>
      <c r="O336" s="11" t="s">
        <v>265</v>
      </c>
      <c r="P336" s="5" t="s">
        <v>56</v>
      </c>
      <c r="Q336" s="12">
        <v>43844</v>
      </c>
      <c r="R336" s="12">
        <v>43830</v>
      </c>
      <c r="S336" s="18"/>
    </row>
    <row r="337" spans="1:19" ht="30" x14ac:dyDescent="0.25">
      <c r="A337" s="5">
        <v>2019</v>
      </c>
      <c r="B337" s="23">
        <v>43466</v>
      </c>
      <c r="C337" s="23">
        <v>43830</v>
      </c>
      <c r="D337" s="5">
        <v>2000</v>
      </c>
      <c r="E337" s="5" t="s">
        <v>153</v>
      </c>
      <c r="F337" s="5" t="s">
        <v>154</v>
      </c>
      <c r="G337" s="7" t="s">
        <v>155</v>
      </c>
      <c r="H337" s="38">
        <f>12906315+3145213</f>
        <v>16051528</v>
      </c>
      <c r="I337" s="38">
        <f>12906315+3145213</f>
        <v>16051528</v>
      </c>
      <c r="J337" s="38">
        <v>12649644.82</v>
      </c>
      <c r="K337" s="38">
        <v>12649644.82</v>
      </c>
      <c r="L337" s="38">
        <v>0</v>
      </c>
      <c r="M337" s="38">
        <v>0</v>
      </c>
      <c r="N337" s="13"/>
      <c r="O337" s="11" t="s">
        <v>265</v>
      </c>
      <c r="P337" s="5" t="s">
        <v>56</v>
      </c>
      <c r="Q337" s="12">
        <v>43844</v>
      </c>
      <c r="R337" s="12">
        <v>43830</v>
      </c>
      <c r="S337" s="18"/>
    </row>
    <row r="338" spans="1:19" ht="30" x14ac:dyDescent="0.25">
      <c r="A338" s="5">
        <v>2019</v>
      </c>
      <c r="B338" s="23">
        <v>43466</v>
      </c>
      <c r="C338" s="23">
        <v>43830</v>
      </c>
      <c r="D338" s="5">
        <v>2000</v>
      </c>
      <c r="E338" s="5" t="s">
        <v>153</v>
      </c>
      <c r="F338" s="5" t="s">
        <v>156</v>
      </c>
      <c r="G338" s="7" t="s">
        <v>157</v>
      </c>
      <c r="H338" s="38">
        <v>8658853</v>
      </c>
      <c r="I338" s="38">
        <v>10715853</v>
      </c>
      <c r="J338" s="38">
        <v>10485448.26</v>
      </c>
      <c r="K338" s="38">
        <v>10485448.26</v>
      </c>
      <c r="L338" s="38">
        <v>0</v>
      </c>
      <c r="M338" s="38">
        <v>0</v>
      </c>
      <c r="N338" s="13"/>
      <c r="O338" s="11" t="s">
        <v>265</v>
      </c>
      <c r="P338" s="5" t="s">
        <v>56</v>
      </c>
      <c r="Q338" s="12">
        <v>43844</v>
      </c>
      <c r="R338" s="12">
        <v>43830</v>
      </c>
      <c r="S338" s="18"/>
    </row>
    <row r="339" spans="1:19" ht="30" x14ac:dyDescent="0.25">
      <c r="A339" s="5">
        <v>2019</v>
      </c>
      <c r="B339" s="23">
        <v>43466</v>
      </c>
      <c r="C339" s="23">
        <v>43830</v>
      </c>
      <c r="D339" s="5">
        <v>2000</v>
      </c>
      <c r="E339" s="5">
        <v>2700</v>
      </c>
      <c r="F339" s="5">
        <v>2751</v>
      </c>
      <c r="G339" s="7"/>
      <c r="H339" s="38">
        <v>0</v>
      </c>
      <c r="I339" s="38">
        <v>466997.44</v>
      </c>
      <c r="J339" s="38">
        <v>0</v>
      </c>
      <c r="K339" s="38">
        <v>466997.44</v>
      </c>
      <c r="L339" s="38">
        <v>466997.44</v>
      </c>
      <c r="M339" s="38">
        <v>466997.44</v>
      </c>
      <c r="N339" s="13"/>
      <c r="O339" s="11" t="s">
        <v>265</v>
      </c>
      <c r="P339" s="5"/>
      <c r="Q339" s="12"/>
      <c r="R339" s="12"/>
      <c r="S339" s="18"/>
    </row>
    <row r="340" spans="1:19" ht="30" x14ac:dyDescent="0.25">
      <c r="A340" s="5">
        <v>2019</v>
      </c>
      <c r="B340" s="23">
        <v>43466</v>
      </c>
      <c r="C340" s="23">
        <v>43830</v>
      </c>
      <c r="D340" s="5">
        <v>2000</v>
      </c>
      <c r="E340" s="5" t="s">
        <v>158</v>
      </c>
      <c r="F340" s="5" t="s">
        <v>159</v>
      </c>
      <c r="G340" s="7" t="s">
        <v>160</v>
      </c>
      <c r="H340" s="38">
        <v>959185</v>
      </c>
      <c r="I340" s="38">
        <v>1377747.55</v>
      </c>
      <c r="J340" s="38">
        <v>275736.28000000003</v>
      </c>
      <c r="K340" s="38">
        <f>248802.58+275736.28</f>
        <v>524538.86</v>
      </c>
      <c r="L340" s="38">
        <v>248802.58</v>
      </c>
      <c r="M340" s="38">
        <v>248802.58</v>
      </c>
      <c r="N340" s="13"/>
      <c r="O340" s="11" t="s">
        <v>265</v>
      </c>
      <c r="P340" s="5" t="s">
        <v>56</v>
      </c>
      <c r="Q340" s="12">
        <v>43844</v>
      </c>
      <c r="R340" s="12">
        <v>43830</v>
      </c>
      <c r="S340" s="18"/>
    </row>
    <row r="341" spans="1:19" ht="30" x14ac:dyDescent="0.25">
      <c r="A341" s="5">
        <v>2019</v>
      </c>
      <c r="B341" s="23">
        <v>43466</v>
      </c>
      <c r="C341" s="23">
        <v>43830</v>
      </c>
      <c r="D341" s="5">
        <v>2000</v>
      </c>
      <c r="E341" s="5" t="s">
        <v>158</v>
      </c>
      <c r="F341" s="5" t="s">
        <v>161</v>
      </c>
      <c r="G341" s="7" t="s">
        <v>162</v>
      </c>
      <c r="H341" s="38">
        <v>5939</v>
      </c>
      <c r="I341" s="38">
        <v>33796.22</v>
      </c>
      <c r="J341" s="38">
        <v>425.05</v>
      </c>
      <c r="K341" s="38">
        <f>16969.95+425.05</f>
        <v>17395</v>
      </c>
      <c r="L341" s="38">
        <v>16969.95</v>
      </c>
      <c r="M341" s="38">
        <v>16969.95</v>
      </c>
      <c r="N341" s="13"/>
      <c r="O341" s="11" t="s">
        <v>265</v>
      </c>
      <c r="P341" s="5" t="s">
        <v>56</v>
      </c>
      <c r="Q341" s="12">
        <v>43844</v>
      </c>
      <c r="R341" s="12">
        <v>43830</v>
      </c>
      <c r="S341" s="18"/>
    </row>
    <row r="342" spans="1:19" ht="30" x14ac:dyDescent="0.25">
      <c r="A342" s="5">
        <v>2019</v>
      </c>
      <c r="B342" s="23">
        <v>43466</v>
      </c>
      <c r="C342" s="23">
        <v>43830</v>
      </c>
      <c r="D342" s="5">
        <v>2000</v>
      </c>
      <c r="E342" s="5" t="s">
        <v>158</v>
      </c>
      <c r="F342" s="5" t="s">
        <v>163</v>
      </c>
      <c r="G342" s="7" t="s">
        <v>164</v>
      </c>
      <c r="H342" s="38">
        <v>40203</v>
      </c>
      <c r="I342" s="38">
        <v>405758</v>
      </c>
      <c r="J342" s="38">
        <v>179.61</v>
      </c>
      <c r="K342" s="38">
        <f>205958.82+179.61</f>
        <v>206138.43</v>
      </c>
      <c r="L342" s="38">
        <v>205958.82</v>
      </c>
      <c r="M342" s="38">
        <v>205958.82</v>
      </c>
      <c r="N342" s="13"/>
      <c r="O342" s="11" t="s">
        <v>265</v>
      </c>
      <c r="P342" s="5" t="s">
        <v>56</v>
      </c>
      <c r="Q342" s="12">
        <v>43844</v>
      </c>
      <c r="R342" s="12">
        <v>43830</v>
      </c>
      <c r="S342" s="18"/>
    </row>
    <row r="343" spans="1:19" ht="30" x14ac:dyDescent="0.25">
      <c r="A343" s="5">
        <v>2019</v>
      </c>
      <c r="B343" s="23">
        <v>43466</v>
      </c>
      <c r="C343" s="23">
        <v>43830</v>
      </c>
      <c r="D343" s="5">
        <v>2000</v>
      </c>
      <c r="E343" s="5" t="s">
        <v>158</v>
      </c>
      <c r="F343" s="5" t="s">
        <v>165</v>
      </c>
      <c r="G343" s="7" t="s">
        <v>166</v>
      </c>
      <c r="H343" s="38">
        <f>7880410+12239578</f>
        <v>20119988</v>
      </c>
      <c r="I343" s="38">
        <f>5146147.77+92568+36208064.51</f>
        <v>41446780.280000001</v>
      </c>
      <c r="J343" s="38">
        <f>8115309.66+441680.65</f>
        <v>8556990.3100000005</v>
      </c>
      <c r="K343" s="38">
        <f>2411019.82+92568+25520667.11+441680.65+8115309.66</f>
        <v>36581245.239999995</v>
      </c>
      <c r="L343" s="38">
        <f>2411019.82+92568+25520667.11</f>
        <v>28024254.93</v>
      </c>
      <c r="M343" s="38">
        <f>2411019.82+92568+25520667.11</f>
        <v>28024254.93</v>
      </c>
      <c r="N343" s="13"/>
      <c r="O343" s="11" t="s">
        <v>265</v>
      </c>
      <c r="P343" s="5" t="s">
        <v>56</v>
      </c>
      <c r="Q343" s="12">
        <v>43844</v>
      </c>
      <c r="R343" s="12">
        <v>43830</v>
      </c>
      <c r="S343" s="18"/>
    </row>
    <row r="344" spans="1:19" ht="30" x14ac:dyDescent="0.25">
      <c r="A344" s="5">
        <v>2019</v>
      </c>
      <c r="B344" s="23">
        <v>43466</v>
      </c>
      <c r="C344" s="23">
        <v>43830</v>
      </c>
      <c r="D344" s="5">
        <v>3000</v>
      </c>
      <c r="E344" s="5" t="s">
        <v>167</v>
      </c>
      <c r="F344" s="5" t="s">
        <v>168</v>
      </c>
      <c r="G344" s="7" t="s">
        <v>169</v>
      </c>
      <c r="H344" s="38">
        <f>25201151+65438736</f>
        <v>90639887</v>
      </c>
      <c r="I344" s="38">
        <f>25201151+36047811.96+27094186.9</f>
        <v>88343149.859999999</v>
      </c>
      <c r="J344" s="38">
        <v>8464055</v>
      </c>
      <c r="K344" s="38">
        <f>25201151+14634343.1+27094186.9+8464055</f>
        <v>75393736</v>
      </c>
      <c r="L344" s="38">
        <f>25201151+14634343.1+27094186.9</f>
        <v>66929681</v>
      </c>
      <c r="M344" s="38">
        <f>25201151+14634343.1+27094186.9</f>
        <v>66929681</v>
      </c>
      <c r="N344" s="43" t="s">
        <v>267</v>
      </c>
      <c r="O344" s="11" t="s">
        <v>265</v>
      </c>
      <c r="P344" s="5" t="s">
        <v>56</v>
      </c>
      <c r="Q344" s="12">
        <v>43844</v>
      </c>
      <c r="R344" s="12">
        <v>43830</v>
      </c>
      <c r="S344" s="18"/>
    </row>
    <row r="345" spans="1:19" ht="30" x14ac:dyDescent="0.25">
      <c r="A345" s="5">
        <v>2019</v>
      </c>
      <c r="B345" s="23">
        <v>43466</v>
      </c>
      <c r="C345" s="23">
        <v>43830</v>
      </c>
      <c r="D345" s="5">
        <v>3000</v>
      </c>
      <c r="E345" s="5" t="s">
        <v>167</v>
      </c>
      <c r="F345" s="5" t="s">
        <v>171</v>
      </c>
      <c r="G345" s="7" t="s">
        <v>172</v>
      </c>
      <c r="H345" s="38">
        <v>1190002</v>
      </c>
      <c r="I345" s="38">
        <v>1440002</v>
      </c>
      <c r="J345" s="38">
        <v>304836.12</v>
      </c>
      <c r="K345" s="38">
        <f>1110775.9+304836.12</f>
        <v>1415612.02</v>
      </c>
      <c r="L345" s="38">
        <v>1110775.8999999999</v>
      </c>
      <c r="M345" s="38">
        <v>1110775.8999999999</v>
      </c>
      <c r="N345" s="44"/>
      <c r="O345" s="11" t="s">
        <v>265</v>
      </c>
      <c r="P345" s="5" t="s">
        <v>56</v>
      </c>
      <c r="Q345" s="12">
        <v>43844</v>
      </c>
      <c r="R345" s="12">
        <v>43830</v>
      </c>
      <c r="S345" s="18"/>
    </row>
    <row r="346" spans="1:19" ht="30" x14ac:dyDescent="0.25">
      <c r="A346" s="5">
        <v>2019</v>
      </c>
      <c r="B346" s="23">
        <v>43466</v>
      </c>
      <c r="C346" s="23">
        <v>43830</v>
      </c>
      <c r="D346" s="5">
        <v>3000</v>
      </c>
      <c r="E346" s="5" t="s">
        <v>167</v>
      </c>
      <c r="F346" s="5" t="s">
        <v>173</v>
      </c>
      <c r="G346" s="7" t="s">
        <v>174</v>
      </c>
      <c r="H346" s="38">
        <v>3159905</v>
      </c>
      <c r="I346" s="38">
        <v>3259905</v>
      </c>
      <c r="J346" s="38">
        <v>912772</v>
      </c>
      <c r="K346" s="38">
        <f>2347133+912772</f>
        <v>3259905</v>
      </c>
      <c r="L346" s="38">
        <v>2347133</v>
      </c>
      <c r="M346" s="38">
        <v>2347133</v>
      </c>
      <c r="N346" s="44"/>
      <c r="O346" s="11" t="s">
        <v>265</v>
      </c>
      <c r="P346" s="5" t="s">
        <v>56</v>
      </c>
      <c r="Q346" s="12">
        <v>43844</v>
      </c>
      <c r="R346" s="12">
        <v>43830</v>
      </c>
      <c r="S346" s="18"/>
    </row>
    <row r="347" spans="1:19" ht="30" x14ac:dyDescent="0.25">
      <c r="A347" s="5">
        <v>2019</v>
      </c>
      <c r="B347" s="23">
        <v>43466</v>
      </c>
      <c r="C347" s="23">
        <v>43830</v>
      </c>
      <c r="D347" s="5">
        <v>3000</v>
      </c>
      <c r="E347" s="5" t="s">
        <v>167</v>
      </c>
      <c r="F347" s="5" t="s">
        <v>175</v>
      </c>
      <c r="G347" s="7" t="s">
        <v>176</v>
      </c>
      <c r="H347" s="38">
        <v>416308</v>
      </c>
      <c r="I347" s="38">
        <v>416308</v>
      </c>
      <c r="J347" s="38">
        <v>237546.56</v>
      </c>
      <c r="K347" s="38">
        <f>178761.44+237546.56</f>
        <v>416308</v>
      </c>
      <c r="L347" s="38">
        <v>178761.44</v>
      </c>
      <c r="M347" s="38">
        <v>178761.44</v>
      </c>
      <c r="N347" s="44"/>
      <c r="O347" s="11" t="s">
        <v>265</v>
      </c>
      <c r="P347" s="5" t="s">
        <v>56</v>
      </c>
      <c r="Q347" s="12">
        <v>43844</v>
      </c>
      <c r="R347" s="12">
        <v>43830</v>
      </c>
      <c r="S347" s="18"/>
    </row>
    <row r="348" spans="1:19" ht="30" x14ac:dyDescent="0.25">
      <c r="A348" s="5">
        <v>2019</v>
      </c>
      <c r="B348" s="23">
        <v>43466</v>
      </c>
      <c r="C348" s="23">
        <v>43830</v>
      </c>
      <c r="D348" s="5">
        <v>3000</v>
      </c>
      <c r="E348" s="5" t="s">
        <v>167</v>
      </c>
      <c r="F348" s="5" t="s">
        <v>177</v>
      </c>
      <c r="G348" s="7" t="s">
        <v>178</v>
      </c>
      <c r="H348" s="38">
        <v>715000</v>
      </c>
      <c r="I348" s="38">
        <v>715000</v>
      </c>
      <c r="J348" s="38">
        <v>179829.94</v>
      </c>
      <c r="K348" s="38">
        <f>535170.06+179829.94</f>
        <v>715000</v>
      </c>
      <c r="L348" s="38">
        <v>535170.06000000006</v>
      </c>
      <c r="M348" s="38">
        <v>535170.06000000006</v>
      </c>
      <c r="N348" s="44"/>
      <c r="O348" s="11" t="s">
        <v>265</v>
      </c>
      <c r="P348" s="5" t="s">
        <v>56</v>
      </c>
      <c r="Q348" s="12">
        <v>43844</v>
      </c>
      <c r="R348" s="12">
        <v>43830</v>
      </c>
      <c r="S348" s="18"/>
    </row>
    <row r="349" spans="1:19" ht="30" x14ac:dyDescent="0.25">
      <c r="A349" s="5">
        <v>2019</v>
      </c>
      <c r="B349" s="23">
        <v>43466</v>
      </c>
      <c r="C349" s="23">
        <v>43830</v>
      </c>
      <c r="D349" s="5">
        <v>3000</v>
      </c>
      <c r="E349" s="5" t="s">
        <v>167</v>
      </c>
      <c r="F349" s="5" t="s">
        <v>179</v>
      </c>
      <c r="G349" s="7" t="s">
        <v>180</v>
      </c>
      <c r="H349" s="38">
        <v>1286489</v>
      </c>
      <c r="I349" s="38">
        <v>1467456</v>
      </c>
      <c r="J349" s="38">
        <v>0</v>
      </c>
      <c r="K349" s="38">
        <v>1467456</v>
      </c>
      <c r="L349" s="38">
        <v>1467456</v>
      </c>
      <c r="M349" s="38">
        <v>1467456</v>
      </c>
      <c r="N349" s="44"/>
      <c r="O349" s="11" t="s">
        <v>265</v>
      </c>
      <c r="P349" s="5" t="s">
        <v>56</v>
      </c>
      <c r="Q349" s="12">
        <v>43844</v>
      </c>
      <c r="R349" s="12">
        <v>43830</v>
      </c>
      <c r="S349" s="18"/>
    </row>
    <row r="350" spans="1:19" ht="30" x14ac:dyDescent="0.25">
      <c r="A350" s="5">
        <v>2019</v>
      </c>
      <c r="B350" s="23">
        <v>43466</v>
      </c>
      <c r="C350" s="23">
        <v>43830</v>
      </c>
      <c r="D350" s="5">
        <v>3000</v>
      </c>
      <c r="E350" s="5" t="s">
        <v>167</v>
      </c>
      <c r="F350" s="5" t="s">
        <v>181</v>
      </c>
      <c r="G350" s="7" t="s">
        <v>182</v>
      </c>
      <c r="H350" s="38">
        <v>87813</v>
      </c>
      <c r="I350" s="38">
        <v>87813</v>
      </c>
      <c r="J350" s="38">
        <v>3511.93</v>
      </c>
      <c r="K350" s="38">
        <f>84301.07+3511.93</f>
        <v>87813</v>
      </c>
      <c r="L350" s="38">
        <v>84301.07</v>
      </c>
      <c r="M350" s="38">
        <v>84301.07</v>
      </c>
      <c r="N350" s="44"/>
      <c r="O350" s="11" t="s">
        <v>265</v>
      </c>
      <c r="P350" s="5" t="s">
        <v>56</v>
      </c>
      <c r="Q350" s="12">
        <v>43844</v>
      </c>
      <c r="R350" s="12">
        <v>43830</v>
      </c>
      <c r="S350" s="18"/>
    </row>
    <row r="351" spans="1:19" ht="30" x14ac:dyDescent="0.25">
      <c r="A351" s="5">
        <v>2019</v>
      </c>
      <c r="B351" s="23">
        <v>43466</v>
      </c>
      <c r="C351" s="23">
        <v>43830</v>
      </c>
      <c r="D351" s="5">
        <v>3000</v>
      </c>
      <c r="E351" s="5" t="s">
        <v>167</v>
      </c>
      <c r="F351" s="5">
        <v>3181</v>
      </c>
      <c r="G351" s="7" t="s">
        <v>183</v>
      </c>
      <c r="H351" s="38">
        <v>0</v>
      </c>
      <c r="I351" s="38">
        <v>500</v>
      </c>
      <c r="J351" s="38">
        <v>0</v>
      </c>
      <c r="K351" s="38">
        <v>498.08</v>
      </c>
      <c r="L351" s="38">
        <v>498.08</v>
      </c>
      <c r="M351" s="38">
        <v>498.08</v>
      </c>
      <c r="N351" s="44"/>
      <c r="O351" s="11" t="s">
        <v>265</v>
      </c>
      <c r="P351" s="5" t="s">
        <v>56</v>
      </c>
      <c r="Q351" s="12">
        <v>43844</v>
      </c>
      <c r="R351" s="12">
        <v>43830</v>
      </c>
      <c r="S351" s="18"/>
    </row>
    <row r="352" spans="1:19" ht="30" x14ac:dyDescent="0.25">
      <c r="A352" s="5">
        <v>2019</v>
      </c>
      <c r="B352" s="23">
        <v>43466</v>
      </c>
      <c r="C352" s="23">
        <v>43830</v>
      </c>
      <c r="D352" s="5">
        <v>3000</v>
      </c>
      <c r="E352" s="5" t="s">
        <v>167</v>
      </c>
      <c r="F352" s="5" t="s">
        <v>184</v>
      </c>
      <c r="G352" s="7" t="s">
        <v>185</v>
      </c>
      <c r="H352" s="38">
        <v>870000</v>
      </c>
      <c r="I352" s="38">
        <v>870000</v>
      </c>
      <c r="J352" s="38">
        <v>153816.79999999999</v>
      </c>
      <c r="K352" s="38">
        <f>716183.2+153816.8</f>
        <v>870000</v>
      </c>
      <c r="L352" s="38">
        <v>716183.2</v>
      </c>
      <c r="M352" s="38">
        <v>716183.2</v>
      </c>
      <c r="N352" s="44"/>
      <c r="O352" s="11" t="s">
        <v>265</v>
      </c>
      <c r="P352" s="5" t="s">
        <v>56</v>
      </c>
      <c r="Q352" s="12">
        <v>43844</v>
      </c>
      <c r="R352" s="12">
        <v>43830</v>
      </c>
      <c r="S352" s="18"/>
    </row>
    <row r="353" spans="1:19" ht="30" x14ac:dyDescent="0.25">
      <c r="A353" s="5">
        <v>2019</v>
      </c>
      <c r="B353" s="23">
        <v>43466</v>
      </c>
      <c r="C353" s="23">
        <v>43830</v>
      </c>
      <c r="D353" s="5">
        <v>3000</v>
      </c>
      <c r="E353" s="5" t="s">
        <v>186</v>
      </c>
      <c r="F353" s="5" t="s">
        <v>187</v>
      </c>
      <c r="G353" s="7" t="s">
        <v>188</v>
      </c>
      <c r="H353" s="38">
        <v>112797064</v>
      </c>
      <c r="I353" s="38">
        <v>30259537.280000001</v>
      </c>
      <c r="J353" s="38">
        <v>0</v>
      </c>
      <c r="K353" s="38">
        <v>30259537.280000001</v>
      </c>
      <c r="L353" s="38">
        <v>30259537.280000001</v>
      </c>
      <c r="M353" s="38">
        <v>30259537.280000001</v>
      </c>
      <c r="N353" s="44"/>
      <c r="O353" s="11" t="s">
        <v>265</v>
      </c>
      <c r="P353" s="5" t="s">
        <v>56</v>
      </c>
      <c r="Q353" s="12">
        <v>43844</v>
      </c>
      <c r="R353" s="12">
        <v>43830</v>
      </c>
      <c r="S353" s="18"/>
    </row>
    <row r="354" spans="1:19" ht="30" x14ac:dyDescent="0.25">
      <c r="A354" s="5">
        <v>2019</v>
      </c>
      <c r="B354" s="23">
        <v>43466</v>
      </c>
      <c r="C354" s="23">
        <v>43830</v>
      </c>
      <c r="D354" s="5">
        <v>3000</v>
      </c>
      <c r="E354" s="5" t="s">
        <v>186</v>
      </c>
      <c r="F354" s="5" t="s">
        <v>189</v>
      </c>
      <c r="G354" s="7" t="s">
        <v>190</v>
      </c>
      <c r="H354" s="38">
        <v>2341262</v>
      </c>
      <c r="I354" s="38">
        <v>255200</v>
      </c>
      <c r="J354" s="38">
        <v>0</v>
      </c>
      <c r="K354" s="38">
        <v>0</v>
      </c>
      <c r="L354" s="38">
        <v>0</v>
      </c>
      <c r="M354" s="38">
        <v>0</v>
      </c>
      <c r="N354" s="45" t="s">
        <v>268</v>
      </c>
      <c r="O354" s="11" t="s">
        <v>265</v>
      </c>
      <c r="P354" s="5" t="s">
        <v>56</v>
      </c>
      <c r="Q354" s="12">
        <v>43844</v>
      </c>
      <c r="R354" s="12">
        <v>43830</v>
      </c>
      <c r="S354" s="18"/>
    </row>
    <row r="355" spans="1:19" ht="30" x14ac:dyDescent="0.25">
      <c r="A355" s="5">
        <v>2019</v>
      </c>
      <c r="B355" s="23">
        <v>43466</v>
      </c>
      <c r="C355" s="23">
        <v>43830</v>
      </c>
      <c r="D355" s="5">
        <v>3000</v>
      </c>
      <c r="E355" s="5" t="s">
        <v>186</v>
      </c>
      <c r="F355" s="5" t="s">
        <v>191</v>
      </c>
      <c r="G355" s="7" t="s">
        <v>192</v>
      </c>
      <c r="H355" s="38">
        <v>259777</v>
      </c>
      <c r="I355" s="38">
        <v>259777</v>
      </c>
      <c r="J355" s="46">
        <v>29535.73</v>
      </c>
      <c r="K355" s="46">
        <f>230241.26+29535.73</f>
        <v>259776.99000000002</v>
      </c>
      <c r="L355" s="46">
        <v>230241.26</v>
      </c>
      <c r="M355" s="46">
        <v>230241.26</v>
      </c>
      <c r="N355" s="45"/>
      <c r="O355" s="11" t="s">
        <v>265</v>
      </c>
      <c r="P355" s="5" t="s">
        <v>56</v>
      </c>
      <c r="Q355" s="12">
        <v>43844</v>
      </c>
      <c r="R355" s="12">
        <v>43830</v>
      </c>
      <c r="S355" s="18"/>
    </row>
    <row r="356" spans="1:19" ht="30" x14ac:dyDescent="0.25">
      <c r="A356" s="5">
        <v>2019</v>
      </c>
      <c r="B356" s="23">
        <v>43466</v>
      </c>
      <c r="C356" s="23">
        <v>43830</v>
      </c>
      <c r="D356" s="5">
        <v>3000</v>
      </c>
      <c r="E356" s="5" t="s">
        <v>193</v>
      </c>
      <c r="F356" s="5" t="s">
        <v>194</v>
      </c>
      <c r="G356" s="7" t="s">
        <v>195</v>
      </c>
      <c r="H356" s="38">
        <v>253278</v>
      </c>
      <c r="I356" s="46">
        <v>600000</v>
      </c>
      <c r="J356" s="46">
        <v>0</v>
      </c>
      <c r="K356" s="46">
        <v>250000</v>
      </c>
      <c r="L356" s="46">
        <v>250000</v>
      </c>
      <c r="M356" s="46">
        <v>250000</v>
      </c>
      <c r="N356" s="45"/>
      <c r="O356" s="11" t="s">
        <v>265</v>
      </c>
      <c r="P356" s="5" t="s">
        <v>56</v>
      </c>
      <c r="Q356" s="12">
        <v>43844</v>
      </c>
      <c r="R356" s="12">
        <v>43830</v>
      </c>
      <c r="S356" s="18"/>
    </row>
    <row r="357" spans="1:19" ht="30" x14ac:dyDescent="0.25">
      <c r="A357" s="5">
        <v>2019</v>
      </c>
      <c r="B357" s="23">
        <v>43466</v>
      </c>
      <c r="C357" s="23">
        <v>43830</v>
      </c>
      <c r="D357" s="5">
        <v>3000</v>
      </c>
      <c r="E357" s="5" t="s">
        <v>193</v>
      </c>
      <c r="F357" s="5" t="s">
        <v>196</v>
      </c>
      <c r="G357" s="7" t="s">
        <v>197</v>
      </c>
      <c r="H357" s="38">
        <v>562839</v>
      </c>
      <c r="I357" s="46">
        <v>75439</v>
      </c>
      <c r="J357" s="46">
        <v>0</v>
      </c>
      <c r="K357" s="46">
        <v>12600</v>
      </c>
      <c r="L357" s="46">
        <v>12600</v>
      </c>
      <c r="M357" s="46">
        <v>12600</v>
      </c>
      <c r="N357" s="47"/>
      <c r="O357" s="11" t="s">
        <v>265</v>
      </c>
      <c r="P357" s="5" t="s">
        <v>56</v>
      </c>
      <c r="Q357" s="12">
        <v>43844</v>
      </c>
      <c r="R357" s="12">
        <v>43830</v>
      </c>
      <c r="S357" s="18"/>
    </row>
    <row r="358" spans="1:19" ht="30" x14ac:dyDescent="0.25">
      <c r="A358" s="5">
        <v>2019</v>
      </c>
      <c r="B358" s="23">
        <v>43466</v>
      </c>
      <c r="C358" s="23">
        <v>43830</v>
      </c>
      <c r="D358" s="5">
        <v>3000</v>
      </c>
      <c r="E358" s="5" t="s">
        <v>193</v>
      </c>
      <c r="F358" s="5" t="s">
        <v>198</v>
      </c>
      <c r="G358" s="7" t="s">
        <v>199</v>
      </c>
      <c r="H358" s="38">
        <v>2199092</v>
      </c>
      <c r="I358" s="46">
        <v>2338937</v>
      </c>
      <c r="J358" s="46">
        <v>1712978.24</v>
      </c>
      <c r="K358" s="46">
        <f>625958.76+1712978.24</f>
        <v>2338937</v>
      </c>
      <c r="L358" s="46">
        <v>625958.76</v>
      </c>
      <c r="M358" s="46">
        <v>625958.76</v>
      </c>
      <c r="N358" s="48" t="s">
        <v>269</v>
      </c>
      <c r="O358" s="11" t="s">
        <v>265</v>
      </c>
      <c r="P358" s="5" t="s">
        <v>56</v>
      </c>
      <c r="Q358" s="12">
        <v>43844</v>
      </c>
      <c r="R358" s="12">
        <v>43830</v>
      </c>
      <c r="S358" s="18"/>
    </row>
    <row r="359" spans="1:19" ht="30" x14ac:dyDescent="0.25">
      <c r="A359" s="5">
        <v>2019</v>
      </c>
      <c r="B359" s="23">
        <v>43466</v>
      </c>
      <c r="C359" s="23">
        <v>43830</v>
      </c>
      <c r="D359" s="5">
        <v>3000</v>
      </c>
      <c r="E359" s="5" t="s">
        <v>193</v>
      </c>
      <c r="F359" s="5" t="s">
        <v>200</v>
      </c>
      <c r="G359" s="7" t="s">
        <v>201</v>
      </c>
      <c r="H359" s="38">
        <v>107987</v>
      </c>
      <c r="I359" s="46">
        <v>107987</v>
      </c>
      <c r="J359" s="46">
        <v>45236.92</v>
      </c>
      <c r="K359" s="46">
        <f>54763.08+45236.92</f>
        <v>100000</v>
      </c>
      <c r="L359" s="46">
        <v>54763.08</v>
      </c>
      <c r="M359" s="46">
        <v>54763.08</v>
      </c>
      <c r="N359" s="45"/>
      <c r="O359" s="11" t="s">
        <v>265</v>
      </c>
      <c r="P359" s="5" t="s">
        <v>56</v>
      </c>
      <c r="Q359" s="12">
        <v>43844</v>
      </c>
      <c r="R359" s="12">
        <v>43830</v>
      </c>
      <c r="S359" s="18"/>
    </row>
    <row r="360" spans="1:19" ht="30" x14ac:dyDescent="0.25">
      <c r="A360" s="5">
        <v>2019</v>
      </c>
      <c r="B360" s="23">
        <v>43466</v>
      </c>
      <c r="C360" s="23">
        <v>43830</v>
      </c>
      <c r="D360" s="5">
        <v>3000</v>
      </c>
      <c r="E360" s="5" t="s">
        <v>193</v>
      </c>
      <c r="F360" s="5" t="s">
        <v>202</v>
      </c>
      <c r="G360" s="7" t="s">
        <v>203</v>
      </c>
      <c r="H360" s="38">
        <v>5029367</v>
      </c>
      <c r="I360" s="46">
        <f>5074222.01+2393648</f>
        <v>7467870.0099999998</v>
      </c>
      <c r="J360" s="46">
        <f>1509601+44184</f>
        <v>1553785</v>
      </c>
      <c r="K360" s="46">
        <f>3142947+2349464+1509601+44184</f>
        <v>7046196</v>
      </c>
      <c r="L360" s="46">
        <f>3142947+2349464</f>
        <v>5492411</v>
      </c>
      <c r="M360" s="46">
        <f>3142947+2349464</f>
        <v>5492411</v>
      </c>
      <c r="N360" s="47"/>
      <c r="O360" s="11" t="s">
        <v>265</v>
      </c>
      <c r="P360" s="5" t="s">
        <v>56</v>
      </c>
      <c r="Q360" s="12">
        <v>43844</v>
      </c>
      <c r="R360" s="12">
        <v>43830</v>
      </c>
      <c r="S360" s="18"/>
    </row>
    <row r="361" spans="1:19" ht="30" x14ac:dyDescent="0.25">
      <c r="A361" s="5">
        <v>2019</v>
      </c>
      <c r="B361" s="23">
        <v>43466</v>
      </c>
      <c r="C361" s="23">
        <v>43830</v>
      </c>
      <c r="D361" s="5">
        <v>3000</v>
      </c>
      <c r="E361" s="5">
        <v>3300</v>
      </c>
      <c r="F361" s="5">
        <v>3371</v>
      </c>
      <c r="G361" s="7" t="s">
        <v>261</v>
      </c>
      <c r="H361" s="38">
        <v>0</v>
      </c>
      <c r="I361" s="46">
        <v>4400000</v>
      </c>
      <c r="J361" s="46">
        <v>0</v>
      </c>
      <c r="K361" s="46">
        <f>1498345.32+1396624.62</f>
        <v>2894969.9400000004</v>
      </c>
      <c r="L361" s="46">
        <f>1498345.32+1396624.62</f>
        <v>2894969.9400000004</v>
      </c>
      <c r="M361" s="46">
        <f>1498345.32+1396624.62</f>
        <v>2894969.9400000004</v>
      </c>
      <c r="N361" s="16"/>
      <c r="O361" s="11" t="s">
        <v>265</v>
      </c>
      <c r="P361" s="5" t="s">
        <v>56</v>
      </c>
      <c r="Q361" s="12">
        <v>43844</v>
      </c>
      <c r="R361" s="12">
        <v>43830</v>
      </c>
      <c r="S361" s="18"/>
    </row>
    <row r="362" spans="1:19" ht="30" x14ac:dyDescent="0.25">
      <c r="A362" s="5">
        <v>2019</v>
      </c>
      <c r="B362" s="23">
        <v>43466</v>
      </c>
      <c r="C362" s="23">
        <v>43830</v>
      </c>
      <c r="D362" s="5">
        <v>3000</v>
      </c>
      <c r="E362" s="5" t="s">
        <v>193</v>
      </c>
      <c r="F362" s="5">
        <v>3391</v>
      </c>
      <c r="G362" s="7" t="s">
        <v>204</v>
      </c>
      <c r="H362" s="38">
        <v>147987</v>
      </c>
      <c r="I362" s="46">
        <f>866586.99+9855360.07</f>
        <v>10721947.060000001</v>
      </c>
      <c r="J362" s="46">
        <f>13973.36+1548699.43</f>
        <v>1562672.79</v>
      </c>
      <c r="K362" s="46">
        <f>77956.64+8306660.64+13973.36+1548699.43</f>
        <v>9947290.0699999984</v>
      </c>
      <c r="L362" s="46">
        <f>77956.64+8306660.64</f>
        <v>8384617.2799999993</v>
      </c>
      <c r="M362" s="46">
        <f>77956.64+8306660.64</f>
        <v>8384617.2799999993</v>
      </c>
      <c r="N362" s="16"/>
      <c r="O362" s="11" t="s">
        <v>265</v>
      </c>
      <c r="P362" s="5" t="s">
        <v>56</v>
      </c>
      <c r="Q362" s="12">
        <v>43844</v>
      </c>
      <c r="R362" s="12">
        <v>43830</v>
      </c>
      <c r="S362" s="18"/>
    </row>
    <row r="363" spans="1:19" ht="30" x14ac:dyDescent="0.25">
      <c r="A363" s="5">
        <v>2019</v>
      </c>
      <c r="B363" s="23">
        <v>43466</v>
      </c>
      <c r="C363" s="23">
        <v>43830</v>
      </c>
      <c r="D363" s="5">
        <v>3000</v>
      </c>
      <c r="E363" s="5" t="s">
        <v>205</v>
      </c>
      <c r="F363" s="5" t="s">
        <v>206</v>
      </c>
      <c r="G363" s="7" t="s">
        <v>207</v>
      </c>
      <c r="H363" s="38">
        <v>1226615</v>
      </c>
      <c r="I363" s="46">
        <v>1226615</v>
      </c>
      <c r="J363" s="46">
        <v>87814.18</v>
      </c>
      <c r="K363" s="46">
        <f>369885.82+87814.18</f>
        <v>457700</v>
      </c>
      <c r="L363" s="46">
        <v>369885.82</v>
      </c>
      <c r="M363" s="46">
        <v>369885.82</v>
      </c>
      <c r="N363" s="16"/>
      <c r="O363" s="11" t="s">
        <v>265</v>
      </c>
      <c r="P363" s="5" t="s">
        <v>56</v>
      </c>
      <c r="Q363" s="12">
        <v>43844</v>
      </c>
      <c r="R363" s="12">
        <v>43830</v>
      </c>
      <c r="S363" s="18"/>
    </row>
    <row r="364" spans="1:19" ht="30" x14ac:dyDescent="0.25">
      <c r="A364" s="5">
        <v>2019</v>
      </c>
      <c r="B364" s="23">
        <v>43466</v>
      </c>
      <c r="C364" s="23">
        <v>43830</v>
      </c>
      <c r="D364" s="5">
        <v>3000</v>
      </c>
      <c r="E364" s="5" t="s">
        <v>205</v>
      </c>
      <c r="F364" s="5" t="s">
        <v>208</v>
      </c>
      <c r="G364" s="7" t="s">
        <v>209</v>
      </c>
      <c r="H364" s="38">
        <v>2508727</v>
      </c>
      <c r="I364" s="46">
        <v>2508727</v>
      </c>
      <c r="J364" s="46">
        <v>1363851.97</v>
      </c>
      <c r="K364" s="46">
        <f>1127074.03+1363851.97</f>
        <v>2490926</v>
      </c>
      <c r="L364" s="46">
        <v>1127074.03</v>
      </c>
      <c r="M364" s="46">
        <v>1127074.03</v>
      </c>
      <c r="N364" s="16"/>
      <c r="O364" s="11" t="s">
        <v>265</v>
      </c>
      <c r="P364" s="5" t="s">
        <v>56</v>
      </c>
      <c r="Q364" s="12">
        <v>43844</v>
      </c>
      <c r="R364" s="12">
        <v>43830</v>
      </c>
      <c r="S364" s="18"/>
    </row>
    <row r="365" spans="1:19" ht="30" x14ac:dyDescent="0.25">
      <c r="A365" s="5">
        <v>2019</v>
      </c>
      <c r="B365" s="23">
        <v>43466</v>
      </c>
      <c r="C365" s="23">
        <v>43830</v>
      </c>
      <c r="D365" s="5">
        <v>3000</v>
      </c>
      <c r="E365" s="5" t="s">
        <v>205</v>
      </c>
      <c r="F365" s="5" t="s">
        <v>210</v>
      </c>
      <c r="G365" s="7" t="s">
        <v>211</v>
      </c>
      <c r="H365" s="38">
        <f>15500000+141141165+13252671</f>
        <v>169893836</v>
      </c>
      <c r="I365" s="46">
        <f>15500000+106819857+63252671</f>
        <v>185572528</v>
      </c>
      <c r="J365" s="46">
        <f>5305167.31+3515455.82</f>
        <v>8820623.129999999</v>
      </c>
      <c r="K365" s="46">
        <f>15500000+10699972.96+59737215.18+5305167.31+3515455.82</f>
        <v>94757811.269999996</v>
      </c>
      <c r="L365" s="46">
        <f>15500000+10699972.96+59737215.18</f>
        <v>85937188.140000001</v>
      </c>
      <c r="M365" s="46">
        <f>15500000+10699972.96+59737215.18</f>
        <v>85937188.140000001</v>
      </c>
      <c r="N365" s="16"/>
      <c r="O365" s="11" t="s">
        <v>265</v>
      </c>
      <c r="P365" s="5" t="s">
        <v>56</v>
      </c>
      <c r="Q365" s="12">
        <v>43844</v>
      </c>
      <c r="R365" s="12">
        <v>43830</v>
      </c>
      <c r="S365" s="18"/>
    </row>
    <row r="366" spans="1:19" ht="30" x14ac:dyDescent="0.25">
      <c r="A366" s="5">
        <v>2019</v>
      </c>
      <c r="B366" s="23">
        <v>43466</v>
      </c>
      <c r="C366" s="23">
        <v>43830</v>
      </c>
      <c r="D366" s="5">
        <v>3000</v>
      </c>
      <c r="E366" s="5" t="s">
        <v>212</v>
      </c>
      <c r="F366" s="5" t="s">
        <v>213</v>
      </c>
      <c r="G366" s="7" t="s">
        <v>214</v>
      </c>
      <c r="H366" s="38">
        <v>636910</v>
      </c>
      <c r="I366" s="46">
        <f>9186910+12600000</f>
        <v>21786910</v>
      </c>
      <c r="J366" s="46">
        <f>3497362.71+5935603.45</f>
        <v>9432966.1600000001</v>
      </c>
      <c r="K366" s="46">
        <f>5106532.66+5623614.58+3497362.71+5935603.45</f>
        <v>20163113.399999999</v>
      </c>
      <c r="L366" s="46">
        <f>5106532.66+5623614.58</f>
        <v>10730147.24</v>
      </c>
      <c r="M366" s="46">
        <f>5106532.66+5623614.58</f>
        <v>10730147.24</v>
      </c>
      <c r="N366" s="16"/>
      <c r="O366" s="11" t="s">
        <v>265</v>
      </c>
      <c r="P366" s="5" t="s">
        <v>56</v>
      </c>
      <c r="Q366" s="12">
        <v>43844</v>
      </c>
      <c r="R366" s="12">
        <v>43830</v>
      </c>
      <c r="S366" s="18"/>
    </row>
    <row r="367" spans="1:19" ht="30" x14ac:dyDescent="0.25">
      <c r="A367" s="5">
        <v>2019</v>
      </c>
      <c r="B367" s="23">
        <v>43466</v>
      </c>
      <c r="C367" s="23">
        <v>43830</v>
      </c>
      <c r="D367" s="5">
        <v>3000</v>
      </c>
      <c r="E367" s="5" t="s">
        <v>212</v>
      </c>
      <c r="F367" s="5">
        <v>3541</v>
      </c>
      <c r="G367" s="7" t="s">
        <v>215</v>
      </c>
      <c r="H367" s="38">
        <v>0</v>
      </c>
      <c r="I367" s="46">
        <v>5000</v>
      </c>
      <c r="J367" s="46">
        <v>0</v>
      </c>
      <c r="K367" s="46">
        <v>2320</v>
      </c>
      <c r="L367" s="46">
        <v>2320</v>
      </c>
      <c r="M367" s="46">
        <v>2320</v>
      </c>
      <c r="N367" s="16"/>
      <c r="O367" s="11" t="s">
        <v>265</v>
      </c>
      <c r="P367" s="5" t="s">
        <v>56</v>
      </c>
      <c r="Q367" s="12">
        <v>43844</v>
      </c>
      <c r="R367" s="12">
        <v>43830</v>
      </c>
      <c r="S367" s="18"/>
    </row>
    <row r="368" spans="1:19" ht="30" x14ac:dyDescent="0.25">
      <c r="A368" s="5">
        <v>2019</v>
      </c>
      <c r="B368" s="23">
        <v>43466</v>
      </c>
      <c r="C368" s="23">
        <v>43830</v>
      </c>
      <c r="D368" s="5">
        <v>3000</v>
      </c>
      <c r="E368" s="5" t="s">
        <v>212</v>
      </c>
      <c r="F368" s="5" t="s">
        <v>216</v>
      </c>
      <c r="G368" s="7" t="s">
        <v>217</v>
      </c>
      <c r="H368" s="38">
        <f>2604738+101903008</f>
        <v>104507746</v>
      </c>
      <c r="I368" s="46">
        <f>7083880+4874362.64</f>
        <v>11958242.640000001</v>
      </c>
      <c r="J368" s="46">
        <f>2395382.01+1576201.62</f>
        <v>3971583.63</v>
      </c>
      <c r="K368" s="46">
        <f>1359817.99+2849548.4+2395382.01+1576201.62</f>
        <v>8180950.0199999996</v>
      </c>
      <c r="L368" s="46">
        <f>1359817.99+2849548.4</f>
        <v>4209366.3899999997</v>
      </c>
      <c r="M368" s="46">
        <f>1359817.99+2849548.4</f>
        <v>4209366.3899999997</v>
      </c>
      <c r="N368" s="16"/>
      <c r="O368" s="11" t="s">
        <v>265</v>
      </c>
      <c r="P368" s="5" t="s">
        <v>56</v>
      </c>
      <c r="Q368" s="12">
        <v>43844</v>
      </c>
      <c r="R368" s="12">
        <v>43830</v>
      </c>
      <c r="S368" s="18"/>
    </row>
    <row r="369" spans="1:19" ht="30" x14ac:dyDescent="0.25">
      <c r="A369" s="5">
        <v>2019</v>
      </c>
      <c r="B369" s="23">
        <v>43466</v>
      </c>
      <c r="C369" s="23">
        <v>43830</v>
      </c>
      <c r="D369" s="5">
        <v>3000</v>
      </c>
      <c r="E369" s="5" t="s">
        <v>212</v>
      </c>
      <c r="F369" s="5" t="s">
        <v>218</v>
      </c>
      <c r="G369" s="7" t="s">
        <v>219</v>
      </c>
      <c r="H369" s="38">
        <v>255047</v>
      </c>
      <c r="I369" s="46">
        <v>255047</v>
      </c>
      <c r="J369" s="46">
        <v>241972.22</v>
      </c>
      <c r="K369" s="46">
        <f>13074.78+241972.22</f>
        <v>255047</v>
      </c>
      <c r="L369" s="46">
        <v>13074.78</v>
      </c>
      <c r="M369" s="46">
        <v>13074.78</v>
      </c>
      <c r="N369" s="16"/>
      <c r="O369" s="11" t="s">
        <v>265</v>
      </c>
      <c r="P369" s="5" t="s">
        <v>56</v>
      </c>
      <c r="Q369" s="12">
        <v>43844</v>
      </c>
      <c r="R369" s="12">
        <v>43830</v>
      </c>
      <c r="S369" s="18"/>
    </row>
    <row r="370" spans="1:19" ht="30" x14ac:dyDescent="0.25">
      <c r="A370" s="5">
        <v>2019</v>
      </c>
      <c r="B370" s="23">
        <v>43466</v>
      </c>
      <c r="C370" s="23">
        <v>43830</v>
      </c>
      <c r="D370" s="5">
        <v>3000</v>
      </c>
      <c r="E370" s="5" t="s">
        <v>212</v>
      </c>
      <c r="F370" s="5" t="s">
        <v>220</v>
      </c>
      <c r="G370" s="7" t="s">
        <v>221</v>
      </c>
      <c r="H370" s="38">
        <f>3890607+234993883</f>
        <v>238884490</v>
      </c>
      <c r="I370" s="46">
        <f>3052305.01+290566292.86</f>
        <v>293618597.87</v>
      </c>
      <c r="J370" s="46">
        <f>38000+33668451.52</f>
        <v>33706451.520000003</v>
      </c>
      <c r="K370" s="46">
        <f>451306.42+256567140.95+38000+33668451.52</f>
        <v>290724898.88999999</v>
      </c>
      <c r="L370" s="46">
        <f>451306.42+256567140.95</f>
        <v>257018447.36999997</v>
      </c>
      <c r="M370" s="46">
        <f>451306.42+256567140.95</f>
        <v>257018447.36999997</v>
      </c>
      <c r="N370" s="16"/>
      <c r="O370" s="11" t="s">
        <v>265</v>
      </c>
      <c r="P370" s="5" t="s">
        <v>56</v>
      </c>
      <c r="Q370" s="12">
        <v>43844</v>
      </c>
      <c r="R370" s="12">
        <v>43830</v>
      </c>
      <c r="S370" s="18"/>
    </row>
    <row r="371" spans="1:19" ht="30" x14ac:dyDescent="0.25">
      <c r="A371" s="5">
        <v>2019</v>
      </c>
      <c r="B371" s="23">
        <v>43466</v>
      </c>
      <c r="C371" s="23">
        <v>43830</v>
      </c>
      <c r="D371" s="5">
        <v>3000</v>
      </c>
      <c r="E371" s="5" t="s">
        <v>212</v>
      </c>
      <c r="F371" s="5" t="s">
        <v>222</v>
      </c>
      <c r="G371" s="7" t="s">
        <v>223</v>
      </c>
      <c r="H371" s="38">
        <v>3683751</v>
      </c>
      <c r="I371" s="46">
        <v>13055841.380000001</v>
      </c>
      <c r="J371" s="46">
        <v>2176272.27</v>
      </c>
      <c r="K371" s="46">
        <f>10878469.1+2176272.27</f>
        <v>13054741.369999999</v>
      </c>
      <c r="L371" s="46">
        <v>10878469.1</v>
      </c>
      <c r="M371" s="46">
        <v>10878469.1</v>
      </c>
      <c r="N371" s="16"/>
      <c r="O371" s="11" t="s">
        <v>265</v>
      </c>
      <c r="P371" s="5" t="s">
        <v>56</v>
      </c>
      <c r="Q371" s="12">
        <v>43844</v>
      </c>
      <c r="R371" s="12">
        <v>43830</v>
      </c>
      <c r="S371" s="18"/>
    </row>
    <row r="372" spans="1:19" ht="30" x14ac:dyDescent="0.25">
      <c r="A372" s="5">
        <v>2019</v>
      </c>
      <c r="B372" s="23">
        <v>43466</v>
      </c>
      <c r="C372" s="23">
        <v>43830</v>
      </c>
      <c r="D372" s="5">
        <v>3000</v>
      </c>
      <c r="E372" s="5" t="s">
        <v>212</v>
      </c>
      <c r="F372" s="5" t="s">
        <v>224</v>
      </c>
      <c r="G372" s="7" t="s">
        <v>225</v>
      </c>
      <c r="H372" s="38">
        <v>776439</v>
      </c>
      <c r="I372" s="46">
        <v>1251287.83</v>
      </c>
      <c r="J372" s="46">
        <v>670822.53</v>
      </c>
      <c r="K372" s="46">
        <f>504135.92+670822.53</f>
        <v>1174958.45</v>
      </c>
      <c r="L372" s="46">
        <v>504135.92</v>
      </c>
      <c r="M372" s="46">
        <v>504135.92</v>
      </c>
      <c r="N372" s="16"/>
      <c r="O372" s="11" t="s">
        <v>265</v>
      </c>
      <c r="P372" s="5" t="s">
        <v>56</v>
      </c>
      <c r="Q372" s="12">
        <v>43844</v>
      </c>
      <c r="R372" s="12">
        <v>43830</v>
      </c>
      <c r="S372" s="18"/>
    </row>
    <row r="373" spans="1:19" ht="30" x14ac:dyDescent="0.25">
      <c r="A373" s="5">
        <v>2019</v>
      </c>
      <c r="B373" s="23">
        <v>43466</v>
      </c>
      <c r="C373" s="23">
        <v>43830</v>
      </c>
      <c r="D373" s="5">
        <v>3000</v>
      </c>
      <c r="E373" s="5" t="s">
        <v>226</v>
      </c>
      <c r="F373" s="5" t="s">
        <v>227</v>
      </c>
      <c r="G373" s="7" t="s">
        <v>228</v>
      </c>
      <c r="H373" s="38">
        <v>0</v>
      </c>
      <c r="I373" s="46">
        <v>54301.04</v>
      </c>
      <c r="J373" s="46">
        <v>45700.54</v>
      </c>
      <c r="K373" s="46">
        <f>8600.5+45700.54</f>
        <v>54301.04</v>
      </c>
      <c r="L373" s="46">
        <v>8600.5</v>
      </c>
      <c r="M373" s="46">
        <v>8600.5</v>
      </c>
      <c r="N373" s="16"/>
      <c r="O373" s="11" t="s">
        <v>265</v>
      </c>
      <c r="P373" s="5" t="s">
        <v>56</v>
      </c>
      <c r="Q373" s="12">
        <v>43844</v>
      </c>
      <c r="R373" s="12">
        <v>43830</v>
      </c>
      <c r="S373" s="18"/>
    </row>
    <row r="374" spans="1:19" ht="30" x14ac:dyDescent="0.25">
      <c r="A374" s="5">
        <v>2019</v>
      </c>
      <c r="B374" s="23">
        <v>43466</v>
      </c>
      <c r="C374" s="23">
        <v>43830</v>
      </c>
      <c r="D374" s="5">
        <v>3000</v>
      </c>
      <c r="E374" s="5" t="s">
        <v>226</v>
      </c>
      <c r="F374" s="5" t="s">
        <v>229</v>
      </c>
      <c r="G374" s="7" t="s">
        <v>230</v>
      </c>
      <c r="H374" s="38">
        <v>156791</v>
      </c>
      <c r="I374" s="46">
        <v>156791</v>
      </c>
      <c r="J374" s="46">
        <v>39291</v>
      </c>
      <c r="K374" s="46">
        <f>117500+39291</f>
        <v>156791</v>
      </c>
      <c r="L374" s="46">
        <v>117500</v>
      </c>
      <c r="M374" s="46">
        <v>117500</v>
      </c>
      <c r="N374" s="16"/>
      <c r="O374" s="11" t="s">
        <v>265</v>
      </c>
      <c r="P374" s="5" t="s">
        <v>56</v>
      </c>
      <c r="Q374" s="12">
        <v>43844</v>
      </c>
      <c r="R374" s="12">
        <v>43830</v>
      </c>
      <c r="S374" s="18"/>
    </row>
    <row r="375" spans="1:19" ht="30" x14ac:dyDescent="0.25">
      <c r="A375" s="5">
        <v>2019</v>
      </c>
      <c r="B375" s="23">
        <v>43466</v>
      </c>
      <c r="C375" s="23">
        <v>43830</v>
      </c>
      <c r="D375" s="5">
        <v>3000</v>
      </c>
      <c r="E375" s="5" t="s">
        <v>226</v>
      </c>
      <c r="F375" s="5" t="s">
        <v>231</v>
      </c>
      <c r="G375" s="7" t="s">
        <v>232</v>
      </c>
      <c r="H375" s="38">
        <v>0</v>
      </c>
      <c r="I375" s="46">
        <v>806857</v>
      </c>
      <c r="J375" s="46">
        <v>127466.11</v>
      </c>
      <c r="K375" s="46">
        <f>679390.89+127466.11</f>
        <v>806857</v>
      </c>
      <c r="L375" s="46">
        <v>679390.89</v>
      </c>
      <c r="M375" s="46">
        <v>679390.89</v>
      </c>
      <c r="N375" s="16"/>
      <c r="O375" s="11" t="s">
        <v>265</v>
      </c>
      <c r="P375" s="5" t="s">
        <v>56</v>
      </c>
      <c r="Q375" s="12">
        <v>43844</v>
      </c>
      <c r="R375" s="12">
        <v>43830</v>
      </c>
      <c r="S375" s="18"/>
    </row>
    <row r="376" spans="1:19" ht="30" x14ac:dyDescent="0.25">
      <c r="A376" s="5">
        <v>2019</v>
      </c>
      <c r="B376" s="23">
        <v>43466</v>
      </c>
      <c r="C376" s="23">
        <v>43830</v>
      </c>
      <c r="D376" s="5">
        <v>3000</v>
      </c>
      <c r="E376" s="5" t="s">
        <v>233</v>
      </c>
      <c r="F376" s="5" t="s">
        <v>234</v>
      </c>
      <c r="G376" s="7" t="s">
        <v>235</v>
      </c>
      <c r="H376" s="38">
        <v>804056</v>
      </c>
      <c r="I376" s="46">
        <v>10677.79</v>
      </c>
      <c r="J376" s="46">
        <v>0</v>
      </c>
      <c r="K376" s="46">
        <v>0</v>
      </c>
      <c r="L376" s="46">
        <v>0</v>
      </c>
      <c r="M376" s="46">
        <v>0</v>
      </c>
      <c r="N376" s="16"/>
      <c r="O376" s="11" t="s">
        <v>265</v>
      </c>
      <c r="P376" s="5" t="s">
        <v>56</v>
      </c>
      <c r="Q376" s="12">
        <v>43844</v>
      </c>
      <c r="R376" s="12">
        <v>43830</v>
      </c>
      <c r="S376" s="18"/>
    </row>
    <row r="377" spans="1:19" ht="30" x14ac:dyDescent="0.25">
      <c r="A377" s="5">
        <v>2019</v>
      </c>
      <c r="B377" s="23">
        <v>43466</v>
      </c>
      <c r="C377" s="23">
        <v>43830</v>
      </c>
      <c r="D377" s="5">
        <v>3000</v>
      </c>
      <c r="E377" s="5" t="s">
        <v>236</v>
      </c>
      <c r="F377" s="5" t="s">
        <v>237</v>
      </c>
      <c r="G377" s="7" t="s">
        <v>238</v>
      </c>
      <c r="H377" s="38">
        <v>3843893</v>
      </c>
      <c r="I377" s="46">
        <v>6430438</v>
      </c>
      <c r="J377" s="46">
        <v>945443.11</v>
      </c>
      <c r="K377" s="46">
        <f>5484994.89+945443.11</f>
        <v>6430438</v>
      </c>
      <c r="L377" s="46">
        <v>5484994.8899999997</v>
      </c>
      <c r="M377" s="46">
        <v>5484994.8899999997</v>
      </c>
      <c r="N377" s="16"/>
      <c r="O377" s="11" t="s">
        <v>265</v>
      </c>
      <c r="P377" s="5" t="s">
        <v>56</v>
      </c>
      <c r="Q377" s="12">
        <v>43844</v>
      </c>
      <c r="R377" s="12">
        <v>43830</v>
      </c>
      <c r="S377" s="18"/>
    </row>
    <row r="378" spans="1:19" ht="30" x14ac:dyDescent="0.25">
      <c r="A378" s="5">
        <v>2019</v>
      </c>
      <c r="B378" s="23">
        <v>43466</v>
      </c>
      <c r="C378" s="23">
        <v>43830</v>
      </c>
      <c r="D378" s="5">
        <v>3000</v>
      </c>
      <c r="E378" s="5" t="s">
        <v>236</v>
      </c>
      <c r="F378" s="5" t="s">
        <v>239</v>
      </c>
      <c r="G378" s="7" t="s">
        <v>240</v>
      </c>
      <c r="H378" s="38">
        <v>1150000</v>
      </c>
      <c r="I378" s="46">
        <v>1150000</v>
      </c>
      <c r="J378" s="46">
        <v>781085.37</v>
      </c>
      <c r="K378" s="46">
        <f>368914.63+781085.37</f>
        <v>1150000</v>
      </c>
      <c r="L378" s="46">
        <v>368914.63</v>
      </c>
      <c r="M378" s="46">
        <v>368914.63</v>
      </c>
      <c r="N378" s="16"/>
      <c r="O378" s="11" t="s">
        <v>265</v>
      </c>
      <c r="P378" s="5" t="s">
        <v>56</v>
      </c>
      <c r="Q378" s="12">
        <v>43844</v>
      </c>
      <c r="R378" s="12">
        <v>43830</v>
      </c>
      <c r="S378" s="18"/>
    </row>
    <row r="379" spans="1:19" ht="30" x14ac:dyDescent="0.25">
      <c r="A379" s="5">
        <v>2019</v>
      </c>
      <c r="B379" s="23">
        <v>43466</v>
      </c>
      <c r="C379" s="23">
        <v>43830</v>
      </c>
      <c r="D379" s="5">
        <v>3000</v>
      </c>
      <c r="E379" s="5" t="s">
        <v>236</v>
      </c>
      <c r="F379" s="5" t="s">
        <v>241</v>
      </c>
      <c r="G379" s="7" t="s">
        <v>242</v>
      </c>
      <c r="H379" s="38">
        <v>19112201</v>
      </c>
      <c r="I379" s="46">
        <f>19112201+491877</f>
        <v>19604078</v>
      </c>
      <c r="J379" s="46">
        <f>4096952.07+491877</f>
        <v>4588829.07</v>
      </c>
      <c r="K379" s="46">
        <f>15015248.93+4096952.07+491877</f>
        <v>19604078</v>
      </c>
      <c r="L379" s="46">
        <v>15015248.93</v>
      </c>
      <c r="M379" s="46">
        <v>15015248.93</v>
      </c>
      <c r="N379" s="16"/>
      <c r="O379" s="11" t="s">
        <v>265</v>
      </c>
      <c r="P379" s="5" t="s">
        <v>56</v>
      </c>
      <c r="Q379" s="12">
        <v>43844</v>
      </c>
      <c r="R379" s="12">
        <v>43830</v>
      </c>
      <c r="S379" s="18"/>
    </row>
    <row r="380" spans="1:19" ht="30" x14ac:dyDescent="0.25">
      <c r="A380" s="5">
        <v>2019</v>
      </c>
      <c r="B380" s="23">
        <v>43466</v>
      </c>
      <c r="C380" s="23">
        <v>43830</v>
      </c>
      <c r="D380" s="5">
        <v>3000</v>
      </c>
      <c r="E380" s="5" t="s">
        <v>236</v>
      </c>
      <c r="F380" s="5" t="s">
        <v>243</v>
      </c>
      <c r="G380" s="7" t="s">
        <v>244</v>
      </c>
      <c r="H380" s="38">
        <v>5615801</v>
      </c>
      <c r="I380" s="46">
        <v>5615801</v>
      </c>
      <c r="J380" s="46">
        <v>567229.27</v>
      </c>
      <c r="K380" s="46">
        <f>4473312.52+567229.27</f>
        <v>5040541.7899999991</v>
      </c>
      <c r="L380" s="46">
        <v>4473312.5199999996</v>
      </c>
      <c r="M380" s="46">
        <v>4473312.5199999996</v>
      </c>
      <c r="N380" s="16"/>
      <c r="O380" s="11" t="s">
        <v>265</v>
      </c>
      <c r="P380" s="5" t="s">
        <v>56</v>
      </c>
      <c r="Q380" s="12">
        <v>43844</v>
      </c>
      <c r="R380" s="12">
        <v>43830</v>
      </c>
      <c r="S380" s="18"/>
    </row>
    <row r="381" spans="1:19" ht="30" x14ac:dyDescent="0.25">
      <c r="A381" s="5">
        <v>2019</v>
      </c>
      <c r="B381" s="23">
        <v>43466</v>
      </c>
      <c r="C381" s="23">
        <v>43830</v>
      </c>
      <c r="D381" s="5">
        <v>3000</v>
      </c>
      <c r="E381" s="5" t="s">
        <v>236</v>
      </c>
      <c r="F381" s="5" t="s">
        <v>245</v>
      </c>
      <c r="G381" s="7" t="s">
        <v>246</v>
      </c>
      <c r="H381" s="38">
        <v>6578692</v>
      </c>
      <c r="I381" s="46">
        <f>8000000+36500000</f>
        <v>44500000</v>
      </c>
      <c r="J381" s="46">
        <f>8000000+3025000</f>
        <v>11025000</v>
      </c>
      <c r="K381" s="46">
        <f>33275000+8000000+3025000</f>
        <v>44300000</v>
      </c>
      <c r="L381" s="46">
        <v>33275000</v>
      </c>
      <c r="M381" s="46">
        <v>33275000</v>
      </c>
      <c r="N381" s="16"/>
      <c r="O381" s="11" t="s">
        <v>265</v>
      </c>
      <c r="P381" s="5" t="s">
        <v>56</v>
      </c>
      <c r="Q381" s="12">
        <v>43844</v>
      </c>
      <c r="R381" s="12">
        <v>43830</v>
      </c>
      <c r="S381" s="18"/>
    </row>
    <row r="382" spans="1:19" ht="30" x14ac:dyDescent="0.25">
      <c r="A382" s="5">
        <v>2019</v>
      </c>
      <c r="B382" s="23">
        <v>43466</v>
      </c>
      <c r="C382" s="23">
        <v>43830</v>
      </c>
      <c r="D382" s="5">
        <v>4000</v>
      </c>
      <c r="E382" s="5" t="s">
        <v>247</v>
      </c>
      <c r="F382" s="5" t="s">
        <v>248</v>
      </c>
      <c r="G382" s="7" t="s">
        <v>249</v>
      </c>
      <c r="H382" s="38">
        <v>500000</v>
      </c>
      <c r="I382" s="46">
        <v>500000</v>
      </c>
      <c r="J382" s="46">
        <v>288000</v>
      </c>
      <c r="K382" s="46">
        <v>0</v>
      </c>
      <c r="L382" s="46">
        <v>0</v>
      </c>
      <c r="M382" s="46">
        <v>0</v>
      </c>
      <c r="N382" s="49" t="s">
        <v>270</v>
      </c>
      <c r="O382" s="11" t="s">
        <v>265</v>
      </c>
      <c r="P382" s="5" t="s">
        <v>56</v>
      </c>
      <c r="Q382" s="12">
        <v>43844</v>
      </c>
      <c r="R382" s="12">
        <v>43830</v>
      </c>
      <c r="S382" s="18"/>
    </row>
    <row r="383" spans="1:19" ht="30" x14ac:dyDescent="0.25">
      <c r="A383" s="5">
        <v>2019</v>
      </c>
      <c r="B383" s="23">
        <v>43466</v>
      </c>
      <c r="C383" s="23">
        <v>43830</v>
      </c>
      <c r="D383" s="5">
        <v>4000</v>
      </c>
      <c r="E383" s="5" t="s">
        <v>247</v>
      </c>
      <c r="F383" s="5">
        <v>4451</v>
      </c>
      <c r="G383" s="7" t="s">
        <v>251</v>
      </c>
      <c r="H383" s="38">
        <v>7768704</v>
      </c>
      <c r="I383" s="46">
        <v>6257566.4500000002</v>
      </c>
      <c r="J383" s="46">
        <v>0</v>
      </c>
      <c r="K383" s="46">
        <v>6257566.4500000002</v>
      </c>
      <c r="L383" s="46">
        <v>6257566.4500000002</v>
      </c>
      <c r="M383" s="46">
        <v>6257566.4500000002</v>
      </c>
      <c r="N383" s="50"/>
      <c r="O383" s="11" t="s">
        <v>265</v>
      </c>
      <c r="P383" s="5" t="s">
        <v>56</v>
      </c>
      <c r="Q383" s="12">
        <v>43844</v>
      </c>
      <c r="R383" s="12">
        <v>43830</v>
      </c>
      <c r="S383" s="18"/>
    </row>
    <row r="384" spans="1:19" ht="30" x14ac:dyDescent="0.25">
      <c r="A384" s="5">
        <v>2019</v>
      </c>
      <c r="B384" s="23">
        <v>43466</v>
      </c>
      <c r="C384" s="23">
        <v>43830</v>
      </c>
      <c r="D384" s="5">
        <v>4000</v>
      </c>
      <c r="E384" s="5" t="s">
        <v>252</v>
      </c>
      <c r="F384" s="5" t="s">
        <v>253</v>
      </c>
      <c r="G384" s="7" t="s">
        <v>254</v>
      </c>
      <c r="H384" s="38">
        <v>149500000</v>
      </c>
      <c r="I384" s="46">
        <f>149500000+21000000</f>
        <v>170500000</v>
      </c>
      <c r="J384" s="46">
        <v>2197837.7400000002</v>
      </c>
      <c r="K384" s="46">
        <f>149500000+18802162.26+2197837.74+288000</f>
        <v>170788000</v>
      </c>
      <c r="L384" s="46">
        <f>149500000+18802162.26</f>
        <v>168302162.25999999</v>
      </c>
      <c r="M384" s="46">
        <f>149500000+18802162.26</f>
        <v>168302162.25999999</v>
      </c>
      <c r="N384" s="50"/>
      <c r="O384" s="11" t="s">
        <v>265</v>
      </c>
      <c r="P384" s="5" t="s">
        <v>56</v>
      </c>
      <c r="Q384" s="12">
        <v>43844</v>
      </c>
      <c r="R384" s="12">
        <v>43830</v>
      </c>
      <c r="S384" s="18"/>
    </row>
    <row r="385" spans="1:19" ht="30" x14ac:dyDescent="0.25">
      <c r="A385" s="5">
        <v>2019</v>
      </c>
      <c r="B385" s="23">
        <v>43466</v>
      </c>
      <c r="C385" s="23">
        <v>43830</v>
      </c>
      <c r="D385" s="5">
        <v>5000</v>
      </c>
      <c r="E385" s="5">
        <v>5100</v>
      </c>
      <c r="F385" s="5">
        <v>5111</v>
      </c>
      <c r="G385" s="7"/>
      <c r="H385" s="38">
        <v>0</v>
      </c>
      <c r="I385" s="46">
        <v>100000</v>
      </c>
      <c r="J385" s="46">
        <v>0.01</v>
      </c>
      <c r="K385" s="46">
        <f>99974.72+0.01</f>
        <v>99974.73</v>
      </c>
      <c r="L385" s="46">
        <v>99974.720000000001</v>
      </c>
      <c r="M385" s="46">
        <v>99974.720000000001</v>
      </c>
      <c r="N385" s="51"/>
      <c r="O385" s="11" t="s">
        <v>265</v>
      </c>
      <c r="P385" s="5"/>
      <c r="Q385" s="12"/>
      <c r="R385" s="12"/>
      <c r="S385" s="18"/>
    </row>
    <row r="386" spans="1:19" ht="30" x14ac:dyDescent="0.25">
      <c r="A386" s="5">
        <v>2019</v>
      </c>
      <c r="B386" s="23">
        <v>43466</v>
      </c>
      <c r="C386" s="23">
        <v>43830</v>
      </c>
      <c r="D386" s="19">
        <v>5000</v>
      </c>
      <c r="E386" s="19">
        <v>5400</v>
      </c>
      <c r="F386" s="19">
        <v>5412</v>
      </c>
      <c r="G386" s="20" t="s">
        <v>255</v>
      </c>
      <c r="H386" s="46">
        <v>292231296</v>
      </c>
      <c r="I386" s="46">
        <f>167000000+289749347.2</f>
        <v>456749347.19999999</v>
      </c>
      <c r="J386" s="46">
        <v>0</v>
      </c>
      <c r="K386" s="46">
        <f>166605874.64+289749347.2</f>
        <v>456355221.83999997</v>
      </c>
      <c r="L386" s="46">
        <f>166605874.64+289749347.2</f>
        <v>456355221.83999997</v>
      </c>
      <c r="M386" s="46">
        <f>166605874.64+289749347.2</f>
        <v>456355221.83999997</v>
      </c>
      <c r="N386" s="49" t="s">
        <v>271</v>
      </c>
      <c r="O386" s="11" t="s">
        <v>265</v>
      </c>
      <c r="P386" s="5" t="s">
        <v>56</v>
      </c>
      <c r="Q386" s="12">
        <v>43844</v>
      </c>
      <c r="R386" s="12">
        <v>43830</v>
      </c>
      <c r="S386" s="18"/>
    </row>
    <row r="387" spans="1:19" x14ac:dyDescent="0.25">
      <c r="A387" s="5">
        <v>2019</v>
      </c>
      <c r="B387" s="23">
        <v>43466</v>
      </c>
      <c r="C387" s="23">
        <v>43830</v>
      </c>
      <c r="D387" s="19">
        <v>5000</v>
      </c>
      <c r="E387" s="19">
        <v>5600</v>
      </c>
      <c r="F387" s="19">
        <v>5651</v>
      </c>
      <c r="G387" s="18" t="s">
        <v>256</v>
      </c>
      <c r="H387" s="46">
        <v>50000000</v>
      </c>
      <c r="I387" s="46">
        <v>0</v>
      </c>
      <c r="J387" s="46">
        <v>0</v>
      </c>
      <c r="K387" s="46">
        <v>0</v>
      </c>
      <c r="L387" s="46">
        <v>0</v>
      </c>
      <c r="M387" s="46">
        <v>0</v>
      </c>
      <c r="N387" s="51"/>
      <c r="O387" s="52" t="s">
        <v>265</v>
      </c>
      <c r="P387" s="5" t="s">
        <v>56</v>
      </c>
      <c r="Q387" s="12">
        <v>43844</v>
      </c>
      <c r="R387" s="12">
        <v>43830</v>
      </c>
      <c r="S387" s="18"/>
    </row>
  </sheetData>
  <mergeCells count="17">
    <mergeCell ref="N386:N387"/>
    <mergeCell ref="N291:N306"/>
    <mergeCell ref="N344:N353"/>
    <mergeCell ref="N354:N357"/>
    <mergeCell ref="N358:N360"/>
    <mergeCell ref="N382:N385"/>
    <mergeCell ref="A6:S6"/>
    <mergeCell ref="N33:N41"/>
    <mergeCell ref="N60:N65"/>
    <mergeCell ref="N127:N135"/>
    <mergeCell ref="N154:N159"/>
    <mergeCell ref="A2:C2"/>
    <mergeCell ref="D2:F2"/>
    <mergeCell ref="G2:I2"/>
    <mergeCell ref="A3:C3"/>
    <mergeCell ref="D3:F3"/>
    <mergeCell ref="G3:I3"/>
  </mergeCells>
  <hyperlinks>
    <hyperlink ref="O8" r:id="rId1" tooltip="Descargar" display="https://www.transparencia.cdmx.gob.mx/storage/app/uploads/public/5d4/c7c/fdb/5d4c7cfdbdb55436479801.pdf"/>
    <hyperlink ref="O9:O101" r:id="rId2" tooltip="Descargar" display="https://www.transparencia.cdmx.gob.mx/storage/app/uploads/public/5d4/c7c/fdb/5d4c7cfdbdb55436479801.pdf"/>
    <hyperlink ref="O102" r:id="rId3" tooltip="Descargar"/>
    <hyperlink ref="O103" r:id="rId4" tooltip="Descargar"/>
    <hyperlink ref="O104" r:id="rId5" tooltip="Descargar"/>
    <hyperlink ref="O105" r:id="rId6" tooltip="Descargar"/>
    <hyperlink ref="O106" r:id="rId7" tooltip="Descargar"/>
    <hyperlink ref="O107" r:id="rId8" tooltip="Descargar"/>
    <hyperlink ref="O108" r:id="rId9" tooltip="Descargar"/>
    <hyperlink ref="O109" r:id="rId10" tooltip="Descargar"/>
    <hyperlink ref="O110" r:id="rId11" tooltip="Descargar"/>
    <hyperlink ref="O111" r:id="rId12" tooltip="Descargar"/>
    <hyperlink ref="O112" r:id="rId13" tooltip="Descargar"/>
    <hyperlink ref="O113" r:id="rId14" tooltip="Descargar"/>
    <hyperlink ref="O114" r:id="rId15" tooltip="Descargar"/>
    <hyperlink ref="O115" r:id="rId16" tooltip="Descargar"/>
    <hyperlink ref="O116" r:id="rId17" tooltip="Descargar"/>
    <hyperlink ref="O117" r:id="rId18" tooltip="Descargar"/>
    <hyperlink ref="O118" r:id="rId19" tooltip="Descargar"/>
    <hyperlink ref="O119" r:id="rId20" tooltip="Descargar"/>
    <hyperlink ref="O120" r:id="rId21" tooltip="Descargar"/>
    <hyperlink ref="O121" r:id="rId22" tooltip="Descargar"/>
    <hyperlink ref="O195" r:id="rId23" tooltip="Descargar"/>
    <hyperlink ref="O192" r:id="rId24" tooltip="Descargar"/>
    <hyperlink ref="O193" r:id="rId25" tooltip="Descargar"/>
    <hyperlink ref="O194" r:id="rId26" tooltip="Descargar"/>
    <hyperlink ref="O191" r:id="rId27" tooltip="Descargar"/>
    <hyperlink ref="O190" r:id="rId28" tooltip="Descargar"/>
    <hyperlink ref="O189" r:id="rId29" tooltip="Descargar"/>
    <hyperlink ref="O188" r:id="rId30" tooltip="Descargar"/>
    <hyperlink ref="O187" r:id="rId31" tooltip="Descargar"/>
    <hyperlink ref="O186" r:id="rId32" tooltip="Descargar"/>
    <hyperlink ref="O122" r:id="rId33" tooltip="Descargar"/>
    <hyperlink ref="O123" r:id="rId34" tooltip="Descargar"/>
    <hyperlink ref="O124" r:id="rId35" tooltip="Descargar"/>
    <hyperlink ref="O125" r:id="rId36" tooltip="Descargar"/>
    <hyperlink ref="O126" r:id="rId37" tooltip="Descargar"/>
    <hyperlink ref="O127" r:id="rId38" tooltip="Descargar"/>
    <hyperlink ref="O128" r:id="rId39" tooltip="Descargar"/>
    <hyperlink ref="O129" r:id="rId40" tooltip="Descargar"/>
    <hyperlink ref="O130" r:id="rId41" tooltip="Descargar"/>
    <hyperlink ref="O131" r:id="rId42" tooltip="Descargar"/>
    <hyperlink ref="O132" r:id="rId43" tooltip="Descargar"/>
    <hyperlink ref="O185" r:id="rId44" tooltip="Descargar"/>
    <hyperlink ref="O184" r:id="rId45" tooltip="Descargar"/>
    <hyperlink ref="O183" r:id="rId46" tooltip="Descargar"/>
    <hyperlink ref="O182" r:id="rId47" tooltip="Descargar"/>
    <hyperlink ref="O181" r:id="rId48" tooltip="Descargar"/>
    <hyperlink ref="O180" r:id="rId49" tooltip="Descargar"/>
    <hyperlink ref="O179" r:id="rId50" tooltip="Descargar"/>
    <hyperlink ref="O178" r:id="rId51" tooltip="Descargar"/>
    <hyperlink ref="O177" r:id="rId52" tooltip="Descargar"/>
    <hyperlink ref="O176" r:id="rId53" tooltip="Descargar"/>
    <hyperlink ref="O175" r:id="rId54" tooltip="Descargar"/>
    <hyperlink ref="O174" r:id="rId55" tooltip="Descargar"/>
    <hyperlink ref="O173" r:id="rId56" tooltip="Descargar"/>
    <hyperlink ref="O133" r:id="rId57" tooltip="Descargar"/>
    <hyperlink ref="O134" r:id="rId58" tooltip="Descargar"/>
    <hyperlink ref="O135" r:id="rId59" tooltip="Descargar"/>
    <hyperlink ref="O136" r:id="rId60" tooltip="Descargar"/>
    <hyperlink ref="O137" r:id="rId61" tooltip="Descargar"/>
    <hyperlink ref="O138" r:id="rId62" tooltip="Descargar"/>
    <hyperlink ref="O139" r:id="rId63" tooltip="Descargar"/>
    <hyperlink ref="O140" r:id="rId64" tooltip="Descargar"/>
    <hyperlink ref="O141" r:id="rId65" tooltip="Descargar"/>
    <hyperlink ref="O142" r:id="rId66" tooltip="Descargar"/>
    <hyperlink ref="O143" r:id="rId67" tooltip="Descargar"/>
    <hyperlink ref="O144" r:id="rId68" tooltip="Descargar"/>
    <hyperlink ref="O145" r:id="rId69" tooltip="Descargar"/>
    <hyperlink ref="O146" r:id="rId70" tooltip="Descargar"/>
    <hyperlink ref="O147" r:id="rId71" tooltip="Descargar"/>
    <hyperlink ref="O148" r:id="rId72" tooltip="Descargar"/>
    <hyperlink ref="O149" r:id="rId73" tooltip="Descargar"/>
    <hyperlink ref="O150" r:id="rId74" tooltip="Descargar"/>
    <hyperlink ref="O151" r:id="rId75" tooltip="Descargar"/>
    <hyperlink ref="O152" r:id="rId76" tooltip="Descargar"/>
    <hyperlink ref="O153" r:id="rId77" tooltip="Descargar"/>
    <hyperlink ref="O154" r:id="rId78" tooltip="Descargar"/>
    <hyperlink ref="O155" r:id="rId79" tooltip="Descargar"/>
    <hyperlink ref="O156" r:id="rId80" tooltip="Descargar"/>
    <hyperlink ref="O157" r:id="rId81" tooltip="Descargar"/>
    <hyperlink ref="O158" r:id="rId82" tooltip="Descargar"/>
    <hyperlink ref="O159" r:id="rId83" tooltip="Descargar"/>
    <hyperlink ref="O160" r:id="rId84" tooltip="Descargar"/>
    <hyperlink ref="O161" r:id="rId85" tooltip="Descargar"/>
    <hyperlink ref="O162" r:id="rId86" tooltip="Descargar"/>
    <hyperlink ref="O163" r:id="rId87" tooltip="Descargar"/>
    <hyperlink ref="O164" r:id="rId88" tooltip="Descargar"/>
    <hyperlink ref="O165" r:id="rId89" tooltip="Descargar"/>
    <hyperlink ref="O166" r:id="rId90" tooltip="Descargar"/>
    <hyperlink ref="O167" r:id="rId91" tooltip="Descargar"/>
    <hyperlink ref="O168" r:id="rId92" tooltip="Descargar"/>
    <hyperlink ref="O169" r:id="rId93" tooltip="Descargar"/>
    <hyperlink ref="O170" r:id="rId94" tooltip="Descargar"/>
    <hyperlink ref="O171" r:id="rId95" tooltip="Descargar"/>
    <hyperlink ref="O172" r:id="rId96" tooltip="Descargar"/>
    <hyperlink ref="O196" r:id="rId97"/>
    <hyperlink ref="O197:O247" r:id="rId98" display="https://www.transparencia.cdmx.gob.mx/storage/app/uploads/public/5da/8c8/5ac/5da8c85ac6689962226372.pdf"/>
    <hyperlink ref="O248" r:id="rId99"/>
    <hyperlink ref="O249:O290" r:id="rId100" display="https://www.transparencia.cdmx.gob.mx/storage/app/uploads/public/5da/8c8/5ac/5da8c85ac6689962226372.pdf"/>
    <hyperlink ref="O382" r:id="rId101" tooltip="Descargar"/>
    <hyperlink ref="O383" r:id="rId102" tooltip="Descargar"/>
    <hyperlink ref="O384" r:id="rId103" tooltip="Descargar"/>
    <hyperlink ref="O385" r:id="rId104" tooltip="Descargar"/>
    <hyperlink ref="O386" r:id="rId105" tooltip="Descargar"/>
    <hyperlink ref="O387" r:id="rId106" tooltip="Descargar"/>
    <hyperlink ref="O291" r:id="rId107" tooltip="Descargar"/>
    <hyperlink ref="O292" r:id="rId108" tooltip="Descargar"/>
    <hyperlink ref="O293:O381" r:id="rId109" tooltip="Descargar" display="https://www.transparencia.cdmx.gob.mx/storage/app/uploads/public/5e3/1ec/3fd/5e31ec3fd3567802179464.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fbarrera18</cp:lastModifiedBy>
  <dcterms:created xsi:type="dcterms:W3CDTF">2020-01-29T20:36:23Z</dcterms:created>
  <dcterms:modified xsi:type="dcterms:W3CDTF">2020-01-29T20:37:57Z</dcterms:modified>
</cp:coreProperties>
</file>